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2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docProps/app.xml" ContentType="application/vnd.openxmlformats-officedocument.extended-properties+xml"/>
  <Override PartName="/xl/comments1.xml" ContentType="application/vnd.openxmlformats-officedocument.spreadsheetml.comments+xml"/>
  <Override PartName="/xl/comments16.xml" ContentType="application/vnd.openxmlformats-officedocument.spreadsheetml.comments+xml"/>
  <Override PartName="/xl/calcChain.xml" ContentType="application/vnd.openxmlformats-officedocument.spreadsheetml.calcChain+xml"/>
  <Override PartName="/xl/comments10.xml" ContentType="application/vnd.openxmlformats-officedocument.spreadsheetml.comments+xml"/>
  <Override PartName="/xl/comments4.xml" ContentType="application/vnd.openxmlformats-officedocument.spreadsheetml.comments+xml"/>
  <Override PartName="/xl/comments9.xml" ContentType="application/vnd.openxmlformats-officedocument.spreadsheetml.comments+xml"/>
  <Override PartName="/xl/comments8.xml" ContentType="application/vnd.openxmlformats-officedocument.spreadsheetml.comments+xml"/>
  <Override PartName="/xl/comments5.xml" ContentType="application/vnd.openxmlformats-officedocument.spreadsheetml.comments+xml"/>
  <Override PartName="/xl/comments7.xml" ContentType="application/vnd.openxmlformats-officedocument.spreadsheetml.comments+xml"/>
  <Override PartName="/xl/comments11.xml" ContentType="application/vnd.openxmlformats-officedocument.spreadsheetml.comments+xml"/>
  <Override PartName="/xl/comments3.xml" ContentType="application/vnd.openxmlformats-officedocument.spreadsheetml.comments+xml"/>
  <Override PartName="/xl/comments12.xml" ContentType="application/vnd.openxmlformats-officedocument.spreadsheetml.comments+xml"/>
  <Override PartName="/xl/comments6.xml" ContentType="application/vnd.openxmlformats-officedocument.spreadsheetml.comments+xml"/>
  <Override PartName="/xl/comments15.xml" ContentType="application/vnd.openxmlformats-officedocument.spreadsheetml.comments+xml"/>
  <Override PartName="/xl/comments14.xml" ContentType="application/vnd.openxmlformats-officedocument.spreadsheetml.comments+xml"/>
  <Override PartName="/xl/comments2.xml" ContentType="application/vnd.openxmlformats-officedocument.spreadsheetml.comments+xml"/>
  <Override PartName="/xl/comments13.xml" ContentType="application/vnd.openxmlformats-officedocument.spreadsheetml.comment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7715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Kaj/RushFiles/Energistatistik+LEKS+2017/Energibalanser till kund/"/>
    </mc:Choice>
  </mc:AlternateContent>
  <bookViews>
    <workbookView xWindow="0" yWindow="460" windowWidth="28800" windowHeight="17460" tabRatio="809"/>
  </bookViews>
  <sheets>
    <sheet name="Västerbotten" sheetId="17" r:id="rId1"/>
    <sheet name="Nordmaling" sheetId="2" r:id="rId2"/>
    <sheet name="Bjurholm" sheetId="3" r:id="rId3"/>
    <sheet name="Vindeln" sheetId="4" r:id="rId4"/>
    <sheet name="Robertsfors" sheetId="5" r:id="rId5"/>
    <sheet name="Norsjö" sheetId="6" r:id="rId6"/>
    <sheet name="Malå" sheetId="7" r:id="rId7"/>
    <sheet name="Storuman" sheetId="8" r:id="rId8"/>
    <sheet name="Sorsele" sheetId="9" r:id="rId9"/>
    <sheet name="Dorotea" sheetId="10" r:id="rId10"/>
    <sheet name="Vännäs" sheetId="11" r:id="rId11"/>
    <sheet name="Vilhelmina" sheetId="12" r:id="rId12"/>
    <sheet name="Åsele" sheetId="13" r:id="rId13"/>
    <sheet name="Umeå" sheetId="14" r:id="rId14"/>
    <sheet name="Lycksele" sheetId="15" r:id="rId15"/>
    <sheet name="Skellefteå" sheetId="16" r:id="rId16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49" i="17" l="1"/>
  <c r="B37" i="2"/>
  <c r="B36" i="2"/>
  <c r="B32" i="2"/>
  <c r="B32" i="17"/>
  <c r="C32" i="4"/>
  <c r="G32" i="5"/>
  <c r="C32" i="5"/>
  <c r="C32" i="7"/>
  <c r="C32" i="10"/>
  <c r="C32" i="15"/>
  <c r="C32" i="17"/>
  <c r="D32" i="17"/>
  <c r="E32" i="14"/>
  <c r="E32" i="17"/>
  <c r="F32" i="17"/>
  <c r="G32" i="4"/>
  <c r="G32" i="9"/>
  <c r="G32" i="11"/>
  <c r="G32" i="14"/>
  <c r="G32" i="17"/>
  <c r="H32" i="17"/>
  <c r="I32" i="17"/>
  <c r="J32" i="17"/>
  <c r="K32" i="17"/>
  <c r="L32" i="17"/>
  <c r="M32" i="14"/>
  <c r="M32" i="17"/>
  <c r="N32" i="9"/>
  <c r="N32" i="12"/>
  <c r="O32" i="14"/>
  <c r="N32" i="14"/>
  <c r="O32" i="16"/>
  <c r="N32" i="16"/>
  <c r="N32" i="17"/>
  <c r="O32" i="17"/>
  <c r="B33" i="2"/>
  <c r="B33" i="17"/>
  <c r="C33" i="17"/>
  <c r="D33" i="17"/>
  <c r="E33" i="17"/>
  <c r="F33" i="17"/>
  <c r="G33" i="17"/>
  <c r="H33" i="17"/>
  <c r="I33" i="17"/>
  <c r="J33" i="17"/>
  <c r="K33" i="17"/>
  <c r="L33" i="17"/>
  <c r="M33" i="17"/>
  <c r="N33" i="14"/>
  <c r="N33" i="17"/>
  <c r="O33" i="17"/>
  <c r="B34" i="17"/>
  <c r="C34" i="17"/>
  <c r="D34" i="17"/>
  <c r="E34" i="17"/>
  <c r="F34" i="14"/>
  <c r="F34" i="17"/>
  <c r="G34" i="17"/>
  <c r="H34" i="17"/>
  <c r="I34" i="17"/>
  <c r="J34" i="17"/>
  <c r="K34" i="17"/>
  <c r="L34" i="17"/>
  <c r="M34" i="17"/>
  <c r="N34" i="17"/>
  <c r="O34" i="17"/>
  <c r="B35" i="2"/>
  <c r="B35" i="11"/>
  <c r="B35" i="17"/>
  <c r="C35" i="2"/>
  <c r="C35" i="17"/>
  <c r="D35" i="17"/>
  <c r="E35" i="17"/>
  <c r="F35" i="17"/>
  <c r="G35" i="17"/>
  <c r="H35" i="17"/>
  <c r="I35" i="17"/>
  <c r="J35" i="17"/>
  <c r="K35" i="17"/>
  <c r="L35" i="17"/>
  <c r="M35" i="17"/>
  <c r="N35" i="14"/>
  <c r="N35" i="17"/>
  <c r="O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B37" i="3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B39" i="17"/>
  <c r="C18" i="14"/>
  <c r="C18" i="17"/>
  <c r="D18" i="17"/>
  <c r="E18" i="17"/>
  <c r="F18" i="17"/>
  <c r="G18" i="14"/>
  <c r="G18" i="17"/>
  <c r="H18" i="17"/>
  <c r="I18" i="17"/>
  <c r="J18" i="17"/>
  <c r="K18" i="14"/>
  <c r="K18" i="17"/>
  <c r="L18" i="17"/>
  <c r="M18" i="17"/>
  <c r="N18" i="17"/>
  <c r="O18" i="17"/>
  <c r="C17" i="14"/>
  <c r="C17" i="16"/>
  <c r="C17" i="17"/>
  <c r="D17" i="17"/>
  <c r="E17" i="17"/>
  <c r="F17" i="17"/>
  <c r="G17" i="7"/>
  <c r="G17" i="14"/>
  <c r="G17" i="15"/>
  <c r="G17" i="16"/>
  <c r="G17" i="17"/>
  <c r="H17" i="17"/>
  <c r="I17" i="17"/>
  <c r="J17" i="16"/>
  <c r="J17" i="17"/>
  <c r="K17" i="14"/>
  <c r="K17" i="17"/>
  <c r="L17" i="17"/>
  <c r="M17" i="17"/>
  <c r="N17" i="14"/>
  <c r="N17" i="17"/>
  <c r="O17" i="17"/>
  <c r="C23" i="17"/>
  <c r="D23" i="17"/>
  <c r="E23" i="17"/>
  <c r="F23" i="17"/>
  <c r="G23" i="17"/>
  <c r="H23" i="17"/>
  <c r="I23" i="17"/>
  <c r="J23" i="17"/>
  <c r="K23" i="17"/>
  <c r="L23" i="17"/>
  <c r="M23" i="17"/>
  <c r="N19" i="17"/>
  <c r="N20" i="17"/>
  <c r="N23" i="17"/>
  <c r="O19" i="17"/>
  <c r="O20" i="17"/>
  <c r="O21" i="17"/>
  <c r="O22" i="17"/>
  <c r="O23" i="17"/>
  <c r="B17" i="14"/>
  <c r="B17" i="17"/>
  <c r="B18" i="2"/>
  <c r="B18" i="9"/>
  <c r="B18" i="10"/>
  <c r="B18" i="11"/>
  <c r="B18" i="12"/>
  <c r="B18" i="13"/>
  <c r="B18" i="14"/>
  <c r="B18" i="17"/>
  <c r="B19" i="17"/>
  <c r="B20" i="17"/>
  <c r="B21" i="17"/>
  <c r="B22" i="17"/>
  <c r="B23" i="17"/>
  <c r="B4" i="2"/>
  <c r="B4" i="3"/>
  <c r="B4" i="4"/>
  <c r="B4" i="5"/>
  <c r="B4" i="6"/>
  <c r="B4" i="7"/>
  <c r="B4" i="8"/>
  <c r="B4" i="9"/>
  <c r="B4" i="10"/>
  <c r="B4" i="11"/>
  <c r="B4" i="12"/>
  <c r="B4" i="13"/>
  <c r="B4" i="14"/>
  <c r="B4" i="15"/>
  <c r="B4" i="16"/>
  <c r="B4" i="17"/>
  <c r="B6" i="17"/>
  <c r="B7" i="17"/>
  <c r="B10" i="8"/>
  <c r="B8" i="8"/>
  <c r="B10" i="13"/>
  <c r="B8" i="13"/>
  <c r="B10" i="14"/>
  <c r="B8" i="14"/>
  <c r="B10" i="16"/>
  <c r="B8" i="16"/>
  <c r="B8" i="17"/>
  <c r="B9" i="17"/>
  <c r="B10" i="17"/>
  <c r="O36" i="15"/>
  <c r="O39" i="15"/>
  <c r="O31" i="14"/>
  <c r="O33" i="14"/>
  <c r="O35" i="14"/>
  <c r="O36" i="14"/>
  <c r="O37" i="14"/>
  <c r="O38" i="14"/>
  <c r="O39" i="14"/>
  <c r="C39" i="14"/>
  <c r="O36" i="13"/>
  <c r="O39" i="13"/>
  <c r="C39" i="13"/>
  <c r="O36" i="12"/>
  <c r="O36" i="11"/>
  <c r="O36" i="10"/>
  <c r="O39" i="10"/>
  <c r="O36" i="9"/>
  <c r="O39" i="9"/>
  <c r="O36" i="8"/>
  <c r="O36" i="7"/>
  <c r="O36" i="6"/>
  <c r="O39" i="6"/>
  <c r="C39" i="6"/>
  <c r="O36" i="5"/>
  <c r="O34" i="5"/>
  <c r="O39" i="5"/>
  <c r="C39" i="5"/>
  <c r="O36" i="4"/>
  <c r="O39" i="4"/>
  <c r="O36" i="16"/>
  <c r="O35" i="16"/>
  <c r="O33" i="16"/>
  <c r="O39" i="16"/>
  <c r="C39" i="16"/>
  <c r="N39" i="2"/>
  <c r="N39" i="3"/>
  <c r="N39" i="4"/>
  <c r="N39" i="8"/>
  <c r="N39" i="9"/>
  <c r="N39" i="10"/>
  <c r="N39" i="11"/>
  <c r="N39" i="14"/>
  <c r="N39" i="15"/>
  <c r="N39" i="16"/>
  <c r="N23" i="14"/>
  <c r="N45" i="17"/>
  <c r="N42" i="17"/>
  <c r="C39" i="3"/>
  <c r="C39" i="4"/>
  <c r="C39" i="7"/>
  <c r="C39" i="8"/>
  <c r="C39" i="9"/>
  <c r="C39" i="10"/>
  <c r="C39" i="11"/>
  <c r="C39" i="12"/>
  <c r="C39" i="15"/>
  <c r="C23" i="2"/>
  <c r="C23" i="3"/>
  <c r="C23" i="14"/>
  <c r="C23" i="16"/>
  <c r="D39" i="16"/>
  <c r="D23" i="14"/>
  <c r="D10" i="14"/>
  <c r="D42" i="17"/>
  <c r="E39" i="10"/>
  <c r="E39" i="14"/>
  <c r="E39" i="15"/>
  <c r="E42" i="17"/>
  <c r="F39" i="14"/>
  <c r="F10" i="14"/>
  <c r="F42" i="17"/>
  <c r="G39" i="2"/>
  <c r="G39" i="4"/>
  <c r="G39" i="7"/>
  <c r="G39" i="9"/>
  <c r="G39" i="11"/>
  <c r="G39" i="16"/>
  <c r="G23" i="2"/>
  <c r="G23" i="3"/>
  <c r="G23" i="7"/>
  <c r="G23" i="14"/>
  <c r="G23" i="15"/>
  <c r="G23" i="16"/>
  <c r="G10" i="14"/>
  <c r="G10" i="15"/>
  <c r="G42" i="17"/>
  <c r="H42" i="17"/>
  <c r="I39" i="14"/>
  <c r="I42" i="17"/>
  <c r="J23" i="15"/>
  <c r="J23" i="16"/>
  <c r="J42" i="17"/>
  <c r="K23" i="14"/>
  <c r="K10" i="14"/>
  <c r="K42" i="17"/>
  <c r="L39" i="14"/>
  <c r="L42" i="17"/>
  <c r="M39" i="14"/>
  <c r="M42" i="17"/>
  <c r="T22" i="17"/>
  <c r="T23" i="17"/>
  <c r="T24" i="17"/>
  <c r="T25" i="17"/>
  <c r="T26" i="17"/>
  <c r="T28" i="17"/>
  <c r="T29" i="17"/>
  <c r="T30" i="17"/>
  <c r="T31" i="17"/>
  <c r="T32" i="17"/>
  <c r="T33" i="17"/>
  <c r="J42" i="16"/>
  <c r="N45" i="3"/>
  <c r="N42" i="3"/>
  <c r="C42" i="3"/>
  <c r="D42" i="3"/>
  <c r="E42" i="3"/>
  <c r="F42" i="3"/>
  <c r="G42" i="3"/>
  <c r="H42" i="3"/>
  <c r="I42" i="3"/>
  <c r="J42" i="3"/>
  <c r="K42" i="3"/>
  <c r="L42" i="3"/>
  <c r="M42" i="3"/>
  <c r="O42" i="3"/>
  <c r="N43" i="3"/>
  <c r="U22" i="3"/>
  <c r="G43" i="3"/>
  <c r="U23" i="3"/>
  <c r="J43" i="3"/>
  <c r="U24" i="3"/>
  <c r="F43" i="3"/>
  <c r="U25" i="3"/>
  <c r="E43" i="3"/>
  <c r="U26" i="3"/>
  <c r="D43" i="3"/>
  <c r="U27" i="3"/>
  <c r="K43" i="3"/>
  <c r="U28" i="3"/>
  <c r="I43" i="3"/>
  <c r="U29" i="3"/>
  <c r="H43" i="3"/>
  <c r="U30" i="3"/>
  <c r="L43" i="3"/>
  <c r="U31" i="3"/>
  <c r="M43" i="3"/>
  <c r="U32" i="3"/>
  <c r="C43" i="3"/>
  <c r="U33" i="3"/>
  <c r="U34" i="3"/>
  <c r="N45" i="4"/>
  <c r="N42" i="4"/>
  <c r="C42" i="4"/>
  <c r="D42" i="4"/>
  <c r="E42" i="4"/>
  <c r="F42" i="4"/>
  <c r="G42" i="4"/>
  <c r="H42" i="4"/>
  <c r="I42" i="4"/>
  <c r="J42" i="4"/>
  <c r="K42" i="4"/>
  <c r="L42" i="4"/>
  <c r="M42" i="4"/>
  <c r="O42" i="4"/>
  <c r="N43" i="4"/>
  <c r="U22" i="4"/>
  <c r="G43" i="4"/>
  <c r="U23" i="4"/>
  <c r="J43" i="4"/>
  <c r="U24" i="4"/>
  <c r="F43" i="4"/>
  <c r="U25" i="4"/>
  <c r="E43" i="4"/>
  <c r="U26" i="4"/>
  <c r="D43" i="4"/>
  <c r="U27" i="4"/>
  <c r="K43" i="4"/>
  <c r="U28" i="4"/>
  <c r="I43" i="4"/>
  <c r="U29" i="4"/>
  <c r="H43" i="4"/>
  <c r="U30" i="4"/>
  <c r="L43" i="4"/>
  <c r="U31" i="4"/>
  <c r="M43" i="4"/>
  <c r="U32" i="4"/>
  <c r="C43" i="4"/>
  <c r="U33" i="4"/>
  <c r="U34" i="4"/>
  <c r="N45" i="5"/>
  <c r="N42" i="5"/>
  <c r="D42" i="5"/>
  <c r="E42" i="5"/>
  <c r="F42" i="5"/>
  <c r="G42" i="5"/>
  <c r="H42" i="5"/>
  <c r="I42" i="5"/>
  <c r="J42" i="5"/>
  <c r="K42" i="5"/>
  <c r="L42" i="5"/>
  <c r="M42" i="5"/>
  <c r="N45" i="6"/>
  <c r="N42" i="6"/>
  <c r="C42" i="6"/>
  <c r="D42" i="6"/>
  <c r="E42" i="6"/>
  <c r="F42" i="6"/>
  <c r="G42" i="6"/>
  <c r="H42" i="6"/>
  <c r="I42" i="6"/>
  <c r="J42" i="6"/>
  <c r="K42" i="6"/>
  <c r="L42" i="6"/>
  <c r="M42" i="6"/>
  <c r="O42" i="6"/>
  <c r="N43" i="6"/>
  <c r="U22" i="6"/>
  <c r="G43" i="6"/>
  <c r="U23" i="6"/>
  <c r="J43" i="6"/>
  <c r="U24" i="6"/>
  <c r="F43" i="6"/>
  <c r="U25" i="6"/>
  <c r="E43" i="6"/>
  <c r="U26" i="6"/>
  <c r="D43" i="6"/>
  <c r="U27" i="6"/>
  <c r="K43" i="6"/>
  <c r="U28" i="6"/>
  <c r="I43" i="6"/>
  <c r="U29" i="6"/>
  <c r="H43" i="6"/>
  <c r="U30" i="6"/>
  <c r="L43" i="6"/>
  <c r="U31" i="6"/>
  <c r="M43" i="6"/>
  <c r="U32" i="6"/>
  <c r="C43" i="6"/>
  <c r="U33" i="6"/>
  <c r="U34" i="6"/>
  <c r="N45" i="7"/>
  <c r="N42" i="7"/>
  <c r="C42" i="7"/>
  <c r="D42" i="7"/>
  <c r="E42" i="7"/>
  <c r="F42" i="7"/>
  <c r="G42" i="7"/>
  <c r="H42" i="7"/>
  <c r="I42" i="7"/>
  <c r="J42" i="7"/>
  <c r="K42" i="7"/>
  <c r="L42" i="7"/>
  <c r="M42" i="7"/>
  <c r="O42" i="7"/>
  <c r="N43" i="7"/>
  <c r="U22" i="7"/>
  <c r="G43" i="7"/>
  <c r="U23" i="7"/>
  <c r="J43" i="7"/>
  <c r="U24" i="7"/>
  <c r="F43" i="7"/>
  <c r="U25" i="7"/>
  <c r="E43" i="7"/>
  <c r="U26" i="7"/>
  <c r="D43" i="7"/>
  <c r="U27" i="7"/>
  <c r="K43" i="7"/>
  <c r="U28" i="7"/>
  <c r="I43" i="7"/>
  <c r="U29" i="7"/>
  <c r="H43" i="7"/>
  <c r="U30" i="7"/>
  <c r="L43" i="7"/>
  <c r="U31" i="7"/>
  <c r="M43" i="7"/>
  <c r="U32" i="7"/>
  <c r="C43" i="7"/>
  <c r="U33" i="7"/>
  <c r="U34" i="7"/>
  <c r="N45" i="8"/>
  <c r="N42" i="8"/>
  <c r="C42" i="8"/>
  <c r="D42" i="8"/>
  <c r="E42" i="8"/>
  <c r="F42" i="8"/>
  <c r="G42" i="8"/>
  <c r="H42" i="8"/>
  <c r="I42" i="8"/>
  <c r="J42" i="8"/>
  <c r="K42" i="8"/>
  <c r="L42" i="8"/>
  <c r="M42" i="8"/>
  <c r="O42" i="8"/>
  <c r="N43" i="8"/>
  <c r="U22" i="8"/>
  <c r="G43" i="8"/>
  <c r="U23" i="8"/>
  <c r="J43" i="8"/>
  <c r="U24" i="8"/>
  <c r="F43" i="8"/>
  <c r="U25" i="8"/>
  <c r="E43" i="8"/>
  <c r="U26" i="8"/>
  <c r="D43" i="8"/>
  <c r="U27" i="8"/>
  <c r="K43" i="8"/>
  <c r="U28" i="8"/>
  <c r="I43" i="8"/>
  <c r="U29" i="8"/>
  <c r="H43" i="8"/>
  <c r="U30" i="8"/>
  <c r="L43" i="8"/>
  <c r="U31" i="8"/>
  <c r="M43" i="8"/>
  <c r="U32" i="8"/>
  <c r="C43" i="8"/>
  <c r="U33" i="8"/>
  <c r="U34" i="8"/>
  <c r="N45" i="9"/>
  <c r="N42" i="9"/>
  <c r="C42" i="9"/>
  <c r="D42" i="9"/>
  <c r="E42" i="9"/>
  <c r="F42" i="9"/>
  <c r="G42" i="9"/>
  <c r="H42" i="9"/>
  <c r="I42" i="9"/>
  <c r="J42" i="9"/>
  <c r="K42" i="9"/>
  <c r="L42" i="9"/>
  <c r="M42" i="9"/>
  <c r="O42" i="9"/>
  <c r="N43" i="9"/>
  <c r="U22" i="9"/>
  <c r="G43" i="9"/>
  <c r="U23" i="9"/>
  <c r="J43" i="9"/>
  <c r="U24" i="9"/>
  <c r="F43" i="9"/>
  <c r="U25" i="9"/>
  <c r="E43" i="9"/>
  <c r="U26" i="9"/>
  <c r="D43" i="9"/>
  <c r="U27" i="9"/>
  <c r="K43" i="9"/>
  <c r="U28" i="9"/>
  <c r="I43" i="9"/>
  <c r="U29" i="9"/>
  <c r="H43" i="9"/>
  <c r="U30" i="9"/>
  <c r="L43" i="9"/>
  <c r="U31" i="9"/>
  <c r="M43" i="9"/>
  <c r="U32" i="9"/>
  <c r="C43" i="9"/>
  <c r="U33" i="9"/>
  <c r="U34" i="9"/>
  <c r="N45" i="10"/>
  <c r="N42" i="10"/>
  <c r="C42" i="10"/>
  <c r="D42" i="10"/>
  <c r="E42" i="10"/>
  <c r="F42" i="10"/>
  <c r="G42" i="10"/>
  <c r="H42" i="10"/>
  <c r="I42" i="10"/>
  <c r="J42" i="10"/>
  <c r="K42" i="10"/>
  <c r="L42" i="10"/>
  <c r="M42" i="10"/>
  <c r="O42" i="10"/>
  <c r="N43" i="10"/>
  <c r="U22" i="10"/>
  <c r="G43" i="10"/>
  <c r="U23" i="10"/>
  <c r="J43" i="10"/>
  <c r="U24" i="10"/>
  <c r="F43" i="10"/>
  <c r="U25" i="10"/>
  <c r="E43" i="10"/>
  <c r="U26" i="10"/>
  <c r="D43" i="10"/>
  <c r="U27" i="10"/>
  <c r="K43" i="10"/>
  <c r="U28" i="10"/>
  <c r="I43" i="10"/>
  <c r="U29" i="10"/>
  <c r="H43" i="10"/>
  <c r="U30" i="10"/>
  <c r="L43" i="10"/>
  <c r="U31" i="10"/>
  <c r="M43" i="10"/>
  <c r="U32" i="10"/>
  <c r="C43" i="10"/>
  <c r="U33" i="10"/>
  <c r="U34" i="10"/>
  <c r="N45" i="11"/>
  <c r="N42" i="11"/>
  <c r="C42" i="11"/>
  <c r="D42" i="11"/>
  <c r="E42" i="11"/>
  <c r="F42" i="11"/>
  <c r="G42" i="11"/>
  <c r="H42" i="11"/>
  <c r="I42" i="11"/>
  <c r="J42" i="11"/>
  <c r="K42" i="11"/>
  <c r="L42" i="11"/>
  <c r="M42" i="11"/>
  <c r="O42" i="11"/>
  <c r="N43" i="11"/>
  <c r="U22" i="11"/>
  <c r="G43" i="11"/>
  <c r="U23" i="11"/>
  <c r="J43" i="11"/>
  <c r="U24" i="11"/>
  <c r="F43" i="11"/>
  <c r="U25" i="11"/>
  <c r="E43" i="11"/>
  <c r="U26" i="11"/>
  <c r="D43" i="11"/>
  <c r="U27" i="11"/>
  <c r="K43" i="11"/>
  <c r="U28" i="11"/>
  <c r="I43" i="11"/>
  <c r="U29" i="11"/>
  <c r="H43" i="11"/>
  <c r="U30" i="11"/>
  <c r="L43" i="11"/>
  <c r="U31" i="11"/>
  <c r="M43" i="11"/>
  <c r="U32" i="11"/>
  <c r="C43" i="11"/>
  <c r="U33" i="11"/>
  <c r="U34" i="11"/>
  <c r="N45" i="12"/>
  <c r="N42" i="12"/>
  <c r="C42" i="12"/>
  <c r="D42" i="12"/>
  <c r="E42" i="12"/>
  <c r="F42" i="12"/>
  <c r="G42" i="12"/>
  <c r="H42" i="12"/>
  <c r="I42" i="12"/>
  <c r="J42" i="12"/>
  <c r="K42" i="12"/>
  <c r="L42" i="12"/>
  <c r="M42" i="12"/>
  <c r="O42" i="12"/>
  <c r="N43" i="12"/>
  <c r="U22" i="12"/>
  <c r="G43" i="12"/>
  <c r="U23" i="12"/>
  <c r="J43" i="12"/>
  <c r="U24" i="12"/>
  <c r="F43" i="12"/>
  <c r="U25" i="12"/>
  <c r="E43" i="12"/>
  <c r="U26" i="12"/>
  <c r="D43" i="12"/>
  <c r="U27" i="12"/>
  <c r="K43" i="12"/>
  <c r="U28" i="12"/>
  <c r="I43" i="12"/>
  <c r="U29" i="12"/>
  <c r="H43" i="12"/>
  <c r="U30" i="12"/>
  <c r="L43" i="12"/>
  <c r="U31" i="12"/>
  <c r="M43" i="12"/>
  <c r="U32" i="12"/>
  <c r="C43" i="12"/>
  <c r="U33" i="12"/>
  <c r="U34" i="12"/>
  <c r="N45" i="13"/>
  <c r="N42" i="13"/>
  <c r="C42" i="13"/>
  <c r="D42" i="13"/>
  <c r="E42" i="13"/>
  <c r="F42" i="13"/>
  <c r="G42" i="13"/>
  <c r="H42" i="13"/>
  <c r="I42" i="13"/>
  <c r="J42" i="13"/>
  <c r="K42" i="13"/>
  <c r="L42" i="13"/>
  <c r="M42" i="13"/>
  <c r="O42" i="13"/>
  <c r="N43" i="13"/>
  <c r="U22" i="13"/>
  <c r="G43" i="13"/>
  <c r="U23" i="13"/>
  <c r="J43" i="13"/>
  <c r="U24" i="13"/>
  <c r="F43" i="13"/>
  <c r="U25" i="13"/>
  <c r="E43" i="13"/>
  <c r="U26" i="13"/>
  <c r="D43" i="13"/>
  <c r="U27" i="13"/>
  <c r="K43" i="13"/>
  <c r="U28" i="13"/>
  <c r="I43" i="13"/>
  <c r="U29" i="13"/>
  <c r="H43" i="13"/>
  <c r="U30" i="13"/>
  <c r="L43" i="13"/>
  <c r="U31" i="13"/>
  <c r="M43" i="13"/>
  <c r="U32" i="13"/>
  <c r="C43" i="13"/>
  <c r="U33" i="13"/>
  <c r="U34" i="13"/>
  <c r="N45" i="14"/>
  <c r="N42" i="14"/>
  <c r="C42" i="14"/>
  <c r="D42" i="14"/>
  <c r="E42" i="14"/>
  <c r="F42" i="14"/>
  <c r="G42" i="14"/>
  <c r="H42" i="14"/>
  <c r="I42" i="14"/>
  <c r="J42" i="14"/>
  <c r="K42" i="14"/>
  <c r="L42" i="14"/>
  <c r="M42" i="14"/>
  <c r="O42" i="14"/>
  <c r="N43" i="14"/>
  <c r="U22" i="14"/>
  <c r="G43" i="14"/>
  <c r="U23" i="14"/>
  <c r="J43" i="14"/>
  <c r="U24" i="14"/>
  <c r="F43" i="14"/>
  <c r="U25" i="14"/>
  <c r="E43" i="14"/>
  <c r="U26" i="14"/>
  <c r="D43" i="14"/>
  <c r="U27" i="14"/>
  <c r="K43" i="14"/>
  <c r="U28" i="14"/>
  <c r="I43" i="14"/>
  <c r="U29" i="14"/>
  <c r="H43" i="14"/>
  <c r="U30" i="14"/>
  <c r="L43" i="14"/>
  <c r="U31" i="14"/>
  <c r="M43" i="14"/>
  <c r="U32" i="14"/>
  <c r="C43" i="14"/>
  <c r="U33" i="14"/>
  <c r="U34" i="14"/>
  <c r="N45" i="15"/>
  <c r="N42" i="15"/>
  <c r="C42" i="15"/>
  <c r="D42" i="15"/>
  <c r="E42" i="15"/>
  <c r="F42" i="15"/>
  <c r="G42" i="15"/>
  <c r="H42" i="15"/>
  <c r="I42" i="15"/>
  <c r="J42" i="15"/>
  <c r="K42" i="15"/>
  <c r="L42" i="15"/>
  <c r="M42" i="15"/>
  <c r="O42" i="15"/>
  <c r="N43" i="15"/>
  <c r="U22" i="15"/>
  <c r="G43" i="15"/>
  <c r="U23" i="15"/>
  <c r="J43" i="15"/>
  <c r="U24" i="15"/>
  <c r="F43" i="15"/>
  <c r="U25" i="15"/>
  <c r="E43" i="15"/>
  <c r="U26" i="15"/>
  <c r="D43" i="15"/>
  <c r="U27" i="15"/>
  <c r="K43" i="15"/>
  <c r="U28" i="15"/>
  <c r="I43" i="15"/>
  <c r="U29" i="15"/>
  <c r="H43" i="15"/>
  <c r="U30" i="15"/>
  <c r="L43" i="15"/>
  <c r="U31" i="15"/>
  <c r="M43" i="15"/>
  <c r="U32" i="15"/>
  <c r="C43" i="15"/>
  <c r="U33" i="15"/>
  <c r="U34" i="15"/>
  <c r="C42" i="16"/>
  <c r="D42" i="16"/>
  <c r="E42" i="16"/>
  <c r="F42" i="16"/>
  <c r="G42" i="16"/>
  <c r="H42" i="16"/>
  <c r="I42" i="16"/>
  <c r="K42" i="16"/>
  <c r="L42" i="16"/>
  <c r="M42" i="16"/>
  <c r="N45" i="16"/>
  <c r="N42" i="16"/>
  <c r="O42" i="16"/>
  <c r="N43" i="16"/>
  <c r="U22" i="16"/>
  <c r="G43" i="16"/>
  <c r="U23" i="16"/>
  <c r="J43" i="16"/>
  <c r="U24" i="16"/>
  <c r="F43" i="16"/>
  <c r="U25" i="16"/>
  <c r="E43" i="16"/>
  <c r="U26" i="16"/>
  <c r="D43" i="16"/>
  <c r="U27" i="16"/>
  <c r="K43" i="16"/>
  <c r="U28" i="16"/>
  <c r="I43" i="16"/>
  <c r="U29" i="16"/>
  <c r="H43" i="16"/>
  <c r="U30" i="16"/>
  <c r="L43" i="16"/>
  <c r="U31" i="16"/>
  <c r="M43" i="16"/>
  <c r="U32" i="16"/>
  <c r="C43" i="16"/>
  <c r="U33" i="16"/>
  <c r="U34" i="16"/>
  <c r="N45" i="2"/>
  <c r="N42" i="2"/>
  <c r="C42" i="2"/>
  <c r="D42" i="2"/>
  <c r="E42" i="2"/>
  <c r="F42" i="2"/>
  <c r="G42" i="2"/>
  <c r="H42" i="2"/>
  <c r="I42" i="2"/>
  <c r="J42" i="2"/>
  <c r="K42" i="2"/>
  <c r="L42" i="2"/>
  <c r="M42" i="2"/>
  <c r="O42" i="2"/>
  <c r="N43" i="2"/>
  <c r="U22" i="2"/>
  <c r="G43" i="2"/>
  <c r="U23" i="2"/>
  <c r="J43" i="2"/>
  <c r="U24" i="2"/>
  <c r="F43" i="2"/>
  <c r="U25" i="2"/>
  <c r="E43" i="2"/>
  <c r="U26" i="2"/>
  <c r="D43" i="2"/>
  <c r="U27" i="2"/>
  <c r="K43" i="2"/>
  <c r="U28" i="2"/>
  <c r="I43" i="2"/>
  <c r="U29" i="2"/>
  <c r="H43" i="2"/>
  <c r="U30" i="2"/>
  <c r="L43" i="2"/>
  <c r="U31" i="2"/>
  <c r="M43" i="2"/>
  <c r="U32" i="2"/>
  <c r="C43" i="2"/>
  <c r="U33" i="2"/>
  <c r="U34" i="2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22" i="5"/>
  <c r="T23" i="5"/>
  <c r="T24" i="5"/>
  <c r="T25" i="5"/>
  <c r="T26" i="5"/>
  <c r="T27" i="5"/>
  <c r="T28" i="5"/>
  <c r="T29" i="5"/>
  <c r="T30" i="5"/>
  <c r="T31" i="5"/>
  <c r="T32" i="5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22" i="15"/>
  <c r="T23" i="15"/>
  <c r="T24" i="15"/>
  <c r="T25" i="15"/>
  <c r="T26" i="15"/>
  <c r="T27" i="15"/>
  <c r="T28" i="15"/>
  <c r="T29" i="15"/>
  <c r="T30" i="15"/>
  <c r="T31" i="15"/>
  <c r="T32" i="15"/>
  <c r="T33" i="15"/>
  <c r="T34" i="15"/>
  <c r="T24" i="16"/>
  <c r="T22" i="16"/>
  <c r="T23" i="16"/>
  <c r="T25" i="16"/>
  <c r="T26" i="16"/>
  <c r="T27" i="16"/>
  <c r="T28" i="16"/>
  <c r="T29" i="16"/>
  <c r="T30" i="16"/>
  <c r="T31" i="16"/>
  <c r="T32" i="16"/>
  <c r="T33" i="16"/>
  <c r="T34" i="16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B10" i="15"/>
  <c r="B10" i="12"/>
  <c r="B10" i="11"/>
  <c r="B10" i="10"/>
  <c r="B10" i="9"/>
  <c r="B10" i="7"/>
  <c r="B10" i="6"/>
  <c r="B10" i="5"/>
  <c r="B10" i="4"/>
  <c r="B10" i="3"/>
  <c r="B10" i="2"/>
  <c r="O10" i="15"/>
  <c r="O6" i="15"/>
  <c r="O17" i="7"/>
  <c r="O23" i="7"/>
  <c r="O35" i="11"/>
  <c r="O39" i="11"/>
  <c r="O10" i="14"/>
  <c r="O18" i="14"/>
  <c r="O17" i="16"/>
  <c r="O23" i="16"/>
  <c r="O92" i="14"/>
  <c r="O93" i="14"/>
  <c r="O32" i="8"/>
  <c r="O39" i="8"/>
  <c r="O32" i="12"/>
  <c r="O39" i="12"/>
  <c r="D51" i="16"/>
  <c r="O17" i="14"/>
  <c r="O23" i="14"/>
  <c r="B23" i="14"/>
  <c r="O72" i="14"/>
  <c r="M79" i="14"/>
  <c r="D77" i="16"/>
  <c r="D78" i="16"/>
  <c r="E78" i="16"/>
  <c r="H78" i="16"/>
  <c r="D88" i="16"/>
  <c r="O32" i="2"/>
  <c r="I62" i="2"/>
  <c r="C52" i="4"/>
  <c r="C51" i="4"/>
  <c r="C51" i="8"/>
  <c r="C52" i="8"/>
  <c r="K54" i="11"/>
  <c r="C53" i="11"/>
  <c r="C52" i="11"/>
  <c r="C51" i="11"/>
  <c r="C54" i="11"/>
  <c r="C55" i="11"/>
  <c r="C56" i="11"/>
  <c r="C57" i="11"/>
  <c r="D55" i="11"/>
  <c r="D52" i="11"/>
  <c r="O33" i="2"/>
  <c r="O37" i="2"/>
  <c r="O36" i="2"/>
  <c r="O32" i="7"/>
  <c r="O39" i="7"/>
  <c r="C54" i="4"/>
  <c r="C55" i="4"/>
  <c r="D55" i="4"/>
  <c r="C53" i="4"/>
  <c r="C56" i="4"/>
  <c r="D52" i="4"/>
  <c r="O32" i="3"/>
  <c r="O33" i="3"/>
  <c r="O34" i="3"/>
  <c r="O35" i="3"/>
  <c r="O36" i="3"/>
  <c r="O37" i="3"/>
  <c r="O39" i="3"/>
  <c r="K50" i="3"/>
  <c r="C51" i="6"/>
  <c r="C52" i="6"/>
  <c r="C53" i="6"/>
  <c r="C54" i="6"/>
  <c r="C55" i="6"/>
  <c r="C56" i="6"/>
  <c r="C57" i="6"/>
  <c r="D55" i="6"/>
  <c r="D52" i="6"/>
  <c r="C51" i="7"/>
  <c r="C52" i="7"/>
  <c r="C53" i="7"/>
  <c r="C54" i="7"/>
  <c r="C55" i="7"/>
  <c r="C56" i="7"/>
  <c r="D55" i="7"/>
  <c r="D52" i="7"/>
  <c r="C52" i="10"/>
  <c r="C52" i="9"/>
  <c r="C53" i="8"/>
  <c r="C54" i="8"/>
  <c r="C55" i="8"/>
  <c r="C56" i="8"/>
  <c r="D55" i="8"/>
  <c r="D52" i="8"/>
  <c r="C51" i="9"/>
  <c r="C53" i="9"/>
  <c r="C54" i="9"/>
  <c r="C55" i="9"/>
  <c r="C56" i="9"/>
  <c r="C57" i="9"/>
  <c r="D55" i="9"/>
  <c r="D52" i="9"/>
  <c r="C51" i="10"/>
  <c r="C53" i="10"/>
  <c r="C54" i="10"/>
  <c r="C55" i="10"/>
  <c r="C56" i="10"/>
  <c r="C57" i="10"/>
  <c r="D55" i="10"/>
  <c r="D52" i="10"/>
  <c r="C51" i="16"/>
  <c r="B52" i="16"/>
  <c r="C50" i="16"/>
  <c r="C52" i="16"/>
  <c r="D52" i="16"/>
  <c r="E51" i="16"/>
  <c r="E52" i="16"/>
  <c r="F52" i="16"/>
  <c r="G52" i="16"/>
  <c r="H52" i="16"/>
  <c r="I52" i="16"/>
  <c r="J52" i="16"/>
  <c r="K52" i="16"/>
  <c r="L52" i="16"/>
  <c r="M52" i="16"/>
  <c r="N52" i="16"/>
  <c r="O51" i="16"/>
  <c r="O50" i="16"/>
  <c r="O52" i="16"/>
  <c r="H63" i="14"/>
  <c r="I63" i="14"/>
  <c r="J58" i="14"/>
  <c r="J61" i="14"/>
  <c r="J63" i="14"/>
  <c r="K63" i="14"/>
  <c r="L63" i="14"/>
  <c r="M63" i="14"/>
  <c r="N61" i="14"/>
  <c r="N63" i="14"/>
  <c r="O63" i="14"/>
  <c r="P63" i="14"/>
  <c r="Q61" i="14"/>
  <c r="Q63" i="14"/>
  <c r="R61" i="14"/>
  <c r="R63" i="14"/>
  <c r="S63" i="14"/>
  <c r="T61" i="14"/>
  <c r="T58" i="14"/>
  <c r="T63" i="14"/>
  <c r="M50" i="14"/>
  <c r="E50" i="14"/>
  <c r="C50" i="14"/>
  <c r="C56" i="16"/>
  <c r="C57" i="16"/>
  <c r="C58" i="16"/>
  <c r="C59" i="16"/>
  <c r="C60" i="16"/>
  <c r="C61" i="16"/>
  <c r="C62" i="16"/>
  <c r="D60" i="16"/>
  <c r="D57" i="16"/>
  <c r="C56" i="14"/>
  <c r="C57" i="14"/>
  <c r="C58" i="14"/>
  <c r="C59" i="14"/>
  <c r="C60" i="14"/>
  <c r="C61" i="14"/>
  <c r="C62" i="14"/>
  <c r="D60" i="14"/>
  <c r="D57" i="14"/>
  <c r="O50" i="14"/>
  <c r="C56" i="2"/>
  <c r="C57" i="2"/>
  <c r="C58" i="2"/>
  <c r="C59" i="2"/>
  <c r="C60" i="2"/>
  <c r="C61" i="2"/>
  <c r="C62" i="2"/>
  <c r="D60" i="2"/>
  <c r="D57" i="2"/>
  <c r="O50" i="2"/>
  <c r="O17" i="15"/>
  <c r="O23" i="15"/>
  <c r="O24" i="15"/>
  <c r="G46" i="12"/>
  <c r="G47" i="12"/>
  <c r="H47" i="12"/>
  <c r="B23" i="9"/>
  <c r="O18" i="3"/>
  <c r="O23" i="3"/>
  <c r="B23" i="3"/>
  <c r="B39" i="3"/>
  <c r="O18" i="2"/>
  <c r="O23" i="2"/>
  <c r="B23" i="2"/>
  <c r="B45" i="2"/>
  <c r="S32" i="3"/>
  <c r="S31" i="3"/>
  <c r="S30" i="3"/>
  <c r="S29" i="3"/>
  <c r="S28" i="3"/>
  <c r="S27" i="3"/>
  <c r="S24" i="3"/>
  <c r="S32" i="4"/>
  <c r="S31" i="4"/>
  <c r="S30" i="4"/>
  <c r="S29" i="4"/>
  <c r="S28" i="4"/>
  <c r="S27" i="4"/>
  <c r="S24" i="4"/>
  <c r="S32" i="5"/>
  <c r="S31" i="5"/>
  <c r="S30" i="5"/>
  <c r="S29" i="5"/>
  <c r="S28" i="5"/>
  <c r="S27" i="5"/>
  <c r="S24" i="5"/>
  <c r="S32" i="6"/>
  <c r="S31" i="6"/>
  <c r="S30" i="6"/>
  <c r="S29" i="6"/>
  <c r="S28" i="6"/>
  <c r="S27" i="6"/>
  <c r="S24" i="6"/>
  <c r="S32" i="7"/>
  <c r="S31" i="7"/>
  <c r="S30" i="7"/>
  <c r="S29" i="7"/>
  <c r="S28" i="7"/>
  <c r="S27" i="7"/>
  <c r="S24" i="7"/>
  <c r="S32" i="8"/>
  <c r="S31" i="8"/>
  <c r="S30" i="8"/>
  <c r="S29" i="8"/>
  <c r="S28" i="8"/>
  <c r="S27" i="8"/>
  <c r="S24" i="8"/>
  <c r="S32" i="9"/>
  <c r="S31" i="9"/>
  <c r="S30" i="9"/>
  <c r="S29" i="9"/>
  <c r="S28" i="9"/>
  <c r="S27" i="9"/>
  <c r="S24" i="9"/>
  <c r="S32" i="10"/>
  <c r="S31" i="10"/>
  <c r="S30" i="10"/>
  <c r="S29" i="10"/>
  <c r="S28" i="10"/>
  <c r="S27" i="10"/>
  <c r="S24" i="10"/>
  <c r="S32" i="11"/>
  <c r="S31" i="11"/>
  <c r="S30" i="11"/>
  <c r="S29" i="11"/>
  <c r="S28" i="11"/>
  <c r="S27" i="11"/>
  <c r="S24" i="11"/>
  <c r="T19" i="11"/>
  <c r="S32" i="12"/>
  <c r="S31" i="12"/>
  <c r="S30" i="12"/>
  <c r="S29" i="12"/>
  <c r="S28" i="12"/>
  <c r="S27" i="12"/>
  <c r="S24" i="12"/>
  <c r="T19" i="12"/>
  <c r="S32" i="13"/>
  <c r="S31" i="13"/>
  <c r="S30" i="13"/>
  <c r="S29" i="13"/>
  <c r="S28" i="13"/>
  <c r="S27" i="13"/>
  <c r="S24" i="13"/>
  <c r="S32" i="14"/>
  <c r="S31" i="14"/>
  <c r="S30" i="14"/>
  <c r="S29" i="14"/>
  <c r="S28" i="14"/>
  <c r="S27" i="14"/>
  <c r="S24" i="14"/>
  <c r="S32" i="15"/>
  <c r="S31" i="15"/>
  <c r="S30" i="15"/>
  <c r="S29" i="15"/>
  <c r="S28" i="15"/>
  <c r="S27" i="15"/>
  <c r="S24" i="15"/>
  <c r="S32" i="16"/>
  <c r="S31" i="16"/>
  <c r="S30" i="16"/>
  <c r="S29" i="16"/>
  <c r="S28" i="16"/>
  <c r="S27" i="16"/>
  <c r="S24" i="16"/>
  <c r="S32" i="2"/>
  <c r="S31" i="2"/>
  <c r="S30" i="2"/>
  <c r="S29" i="2"/>
  <c r="S28" i="2"/>
  <c r="S27" i="2"/>
  <c r="S24" i="2"/>
  <c r="M41" i="2"/>
  <c r="M41" i="3"/>
  <c r="M41" i="4"/>
  <c r="M41" i="5"/>
  <c r="M41" i="6"/>
  <c r="M41" i="7"/>
  <c r="M41" i="8"/>
  <c r="M41" i="9"/>
  <c r="M41" i="10"/>
  <c r="M41" i="11"/>
  <c r="M41" i="12"/>
  <c r="M41" i="13"/>
  <c r="M41" i="14"/>
  <c r="M41" i="15"/>
  <c r="M41" i="16"/>
  <c r="B41" i="17"/>
  <c r="T42" i="17"/>
  <c r="B41" i="16"/>
  <c r="C65" i="16"/>
  <c r="C66" i="16"/>
  <c r="H77" i="16"/>
  <c r="D79" i="16"/>
  <c r="H79" i="16"/>
  <c r="D80" i="16"/>
  <c r="H80" i="16"/>
  <c r="D81" i="16"/>
  <c r="H81" i="16"/>
  <c r="D82" i="16"/>
  <c r="H82" i="16"/>
  <c r="D83" i="16"/>
  <c r="H83" i="16"/>
  <c r="D84" i="16"/>
  <c r="F91" i="14"/>
  <c r="F95" i="14"/>
  <c r="F97" i="14"/>
  <c r="F98" i="14"/>
  <c r="E90" i="14"/>
  <c r="E91" i="14"/>
  <c r="D94" i="14"/>
  <c r="E94" i="14"/>
  <c r="E95" i="14"/>
  <c r="E96" i="14"/>
  <c r="E97" i="14"/>
  <c r="E98" i="14"/>
  <c r="D98" i="14"/>
  <c r="D89" i="16"/>
  <c r="I81" i="14"/>
  <c r="I82" i="14"/>
  <c r="I83" i="14"/>
  <c r="I84" i="14"/>
  <c r="I85" i="14"/>
  <c r="I86" i="14"/>
  <c r="I87" i="14"/>
  <c r="K85" i="14"/>
  <c r="F87" i="14"/>
  <c r="F77" i="14"/>
  <c r="B77" i="14"/>
  <c r="O41" i="16"/>
  <c r="P41" i="16"/>
  <c r="U39" i="16"/>
  <c r="P35" i="16"/>
  <c r="U40" i="16"/>
  <c r="P33" i="16"/>
  <c r="U41" i="16"/>
  <c r="P31" i="16"/>
  <c r="U42" i="16"/>
  <c r="P32" i="16"/>
  <c r="U43" i="16"/>
  <c r="P34" i="16"/>
  <c r="U44" i="16"/>
  <c r="U45" i="16"/>
  <c r="T39" i="16"/>
  <c r="T40" i="16"/>
  <c r="T41" i="16"/>
  <c r="T42" i="16"/>
  <c r="T43" i="16"/>
  <c r="T44" i="16"/>
  <c r="T45" i="16"/>
  <c r="B45" i="16"/>
  <c r="B46" i="16"/>
  <c r="N41" i="16"/>
  <c r="L41" i="16"/>
  <c r="K41" i="16"/>
  <c r="J41" i="16"/>
  <c r="I41" i="16"/>
  <c r="H41" i="16"/>
  <c r="G41" i="16"/>
  <c r="F41" i="16"/>
  <c r="E41" i="16"/>
  <c r="D41" i="16"/>
  <c r="C41" i="16"/>
  <c r="O41" i="15"/>
  <c r="P41" i="15"/>
  <c r="U39" i="15"/>
  <c r="P35" i="15"/>
  <c r="U40" i="15"/>
  <c r="P33" i="15"/>
  <c r="U41" i="15"/>
  <c r="P31" i="15"/>
  <c r="U42" i="15"/>
  <c r="P32" i="15"/>
  <c r="U43" i="15"/>
  <c r="P34" i="15"/>
  <c r="U44" i="15"/>
  <c r="T40" i="15"/>
  <c r="T41" i="15"/>
  <c r="T42" i="15"/>
  <c r="T43" i="15"/>
  <c r="T44" i="15"/>
  <c r="B45" i="15"/>
  <c r="B46" i="15"/>
  <c r="N41" i="15"/>
  <c r="L41" i="15"/>
  <c r="K41" i="15"/>
  <c r="J41" i="15"/>
  <c r="I41" i="15"/>
  <c r="H41" i="15"/>
  <c r="G41" i="15"/>
  <c r="F41" i="15"/>
  <c r="E41" i="15"/>
  <c r="D41" i="15"/>
  <c r="C41" i="15"/>
  <c r="B41" i="15"/>
  <c r="P38" i="15"/>
  <c r="O41" i="14"/>
  <c r="P41" i="14"/>
  <c r="U39" i="14"/>
  <c r="P35" i="14"/>
  <c r="U40" i="14"/>
  <c r="P32" i="14"/>
  <c r="U43" i="14"/>
  <c r="P33" i="14"/>
  <c r="U41" i="14"/>
  <c r="P31" i="14"/>
  <c r="U42" i="14"/>
  <c r="P34" i="14"/>
  <c r="U44" i="14"/>
  <c r="U45" i="14"/>
  <c r="T39" i="14"/>
  <c r="T40" i="14"/>
  <c r="T43" i="14"/>
  <c r="T41" i="14"/>
  <c r="T42" i="14"/>
  <c r="T44" i="14"/>
  <c r="T45" i="14"/>
  <c r="B45" i="14"/>
  <c r="B46" i="14"/>
  <c r="O45" i="14"/>
  <c r="T38" i="14"/>
  <c r="N41" i="14"/>
  <c r="L41" i="14"/>
  <c r="K41" i="14"/>
  <c r="J41" i="14"/>
  <c r="I41" i="14"/>
  <c r="H41" i="14"/>
  <c r="G41" i="14"/>
  <c r="F41" i="14"/>
  <c r="E41" i="14"/>
  <c r="D41" i="14"/>
  <c r="C41" i="14"/>
  <c r="B41" i="14"/>
  <c r="P38" i="14"/>
  <c r="O41" i="13"/>
  <c r="P41" i="13"/>
  <c r="U39" i="13"/>
  <c r="P35" i="13"/>
  <c r="U40" i="13"/>
  <c r="P33" i="13"/>
  <c r="U41" i="13"/>
  <c r="P31" i="13"/>
  <c r="U42" i="13"/>
  <c r="P32" i="13"/>
  <c r="U43" i="13"/>
  <c r="P34" i="13"/>
  <c r="U44" i="13"/>
  <c r="T40" i="13"/>
  <c r="T41" i="13"/>
  <c r="T42" i="13"/>
  <c r="T43" i="13"/>
  <c r="T44" i="13"/>
  <c r="B45" i="13"/>
  <c r="B46" i="13"/>
  <c r="N41" i="13"/>
  <c r="L41" i="13"/>
  <c r="K41" i="13"/>
  <c r="J41" i="13"/>
  <c r="I41" i="13"/>
  <c r="H41" i="13"/>
  <c r="G41" i="13"/>
  <c r="F41" i="13"/>
  <c r="E41" i="13"/>
  <c r="D41" i="13"/>
  <c r="C41" i="13"/>
  <c r="B41" i="13"/>
  <c r="P38" i="13"/>
  <c r="O41" i="12"/>
  <c r="P41" i="12"/>
  <c r="U39" i="12"/>
  <c r="P35" i="12"/>
  <c r="U40" i="12"/>
  <c r="P33" i="12"/>
  <c r="U41" i="12"/>
  <c r="P31" i="12"/>
  <c r="U42" i="12"/>
  <c r="P32" i="12"/>
  <c r="U43" i="12"/>
  <c r="P34" i="12"/>
  <c r="U44" i="12"/>
  <c r="U45" i="12"/>
  <c r="T39" i="12"/>
  <c r="T40" i="12"/>
  <c r="T41" i="12"/>
  <c r="T42" i="12"/>
  <c r="T43" i="12"/>
  <c r="T44" i="12"/>
  <c r="T45" i="12"/>
  <c r="B45" i="12"/>
  <c r="B46" i="12"/>
  <c r="O45" i="12"/>
  <c r="T38" i="12"/>
  <c r="O43" i="12"/>
  <c r="N41" i="12"/>
  <c r="L41" i="12"/>
  <c r="K41" i="12"/>
  <c r="J41" i="12"/>
  <c r="I41" i="12"/>
  <c r="H41" i="12"/>
  <c r="G41" i="12"/>
  <c r="F41" i="12"/>
  <c r="E41" i="12"/>
  <c r="D41" i="12"/>
  <c r="C41" i="12"/>
  <c r="B41" i="12"/>
  <c r="P38" i="12"/>
  <c r="O41" i="11"/>
  <c r="P41" i="11"/>
  <c r="U39" i="11"/>
  <c r="P35" i="11"/>
  <c r="U40" i="11"/>
  <c r="P33" i="11"/>
  <c r="U41" i="11"/>
  <c r="P31" i="11"/>
  <c r="U42" i="11"/>
  <c r="P32" i="11"/>
  <c r="U43" i="11"/>
  <c r="P34" i="11"/>
  <c r="U44" i="11"/>
  <c r="T40" i="11"/>
  <c r="T41" i="11"/>
  <c r="T42" i="11"/>
  <c r="T43" i="11"/>
  <c r="T44" i="11"/>
  <c r="B45" i="11"/>
  <c r="B46" i="11"/>
  <c r="O43" i="11"/>
  <c r="N41" i="11"/>
  <c r="L41" i="11"/>
  <c r="K41" i="11"/>
  <c r="J41" i="11"/>
  <c r="I41" i="11"/>
  <c r="H41" i="11"/>
  <c r="G41" i="11"/>
  <c r="F41" i="11"/>
  <c r="E41" i="11"/>
  <c r="D41" i="11"/>
  <c r="C41" i="11"/>
  <c r="B41" i="11"/>
  <c r="P38" i="11"/>
  <c r="O41" i="10"/>
  <c r="P41" i="10"/>
  <c r="U39" i="10"/>
  <c r="P35" i="10"/>
  <c r="U40" i="10"/>
  <c r="P33" i="10"/>
  <c r="U41" i="10"/>
  <c r="P31" i="10"/>
  <c r="U42" i="10"/>
  <c r="P32" i="10"/>
  <c r="U43" i="10"/>
  <c r="P34" i="10"/>
  <c r="U44" i="10"/>
  <c r="U45" i="10"/>
  <c r="T39" i="10"/>
  <c r="T40" i="10"/>
  <c r="T41" i="10"/>
  <c r="T42" i="10"/>
  <c r="T43" i="10"/>
  <c r="T44" i="10"/>
  <c r="T45" i="10"/>
  <c r="B45" i="10"/>
  <c r="B46" i="10"/>
  <c r="O45" i="10"/>
  <c r="T38" i="10"/>
  <c r="N41" i="10"/>
  <c r="L41" i="10"/>
  <c r="K41" i="10"/>
  <c r="J41" i="10"/>
  <c r="I41" i="10"/>
  <c r="H41" i="10"/>
  <c r="G41" i="10"/>
  <c r="F41" i="10"/>
  <c r="E41" i="10"/>
  <c r="D41" i="10"/>
  <c r="C41" i="10"/>
  <c r="B41" i="10"/>
  <c r="P38" i="10"/>
  <c r="O41" i="9"/>
  <c r="P41" i="9"/>
  <c r="U39" i="9"/>
  <c r="P35" i="9"/>
  <c r="U40" i="9"/>
  <c r="P33" i="9"/>
  <c r="U41" i="9"/>
  <c r="P31" i="9"/>
  <c r="U42" i="9"/>
  <c r="P32" i="9"/>
  <c r="U43" i="9"/>
  <c r="P34" i="9"/>
  <c r="U44" i="9"/>
  <c r="T40" i="9"/>
  <c r="T41" i="9"/>
  <c r="T42" i="9"/>
  <c r="T43" i="9"/>
  <c r="T44" i="9"/>
  <c r="B45" i="9"/>
  <c r="B46" i="9"/>
  <c r="N41" i="9"/>
  <c r="L41" i="9"/>
  <c r="K41" i="9"/>
  <c r="J41" i="9"/>
  <c r="I41" i="9"/>
  <c r="H41" i="9"/>
  <c r="G41" i="9"/>
  <c r="F41" i="9"/>
  <c r="E41" i="9"/>
  <c r="D41" i="9"/>
  <c r="C41" i="9"/>
  <c r="B41" i="9"/>
  <c r="P38" i="9"/>
  <c r="O41" i="8"/>
  <c r="P41" i="8"/>
  <c r="U39" i="8"/>
  <c r="P35" i="8"/>
  <c r="U40" i="8"/>
  <c r="P33" i="8"/>
  <c r="U41" i="8"/>
  <c r="P31" i="8"/>
  <c r="U42" i="8"/>
  <c r="P32" i="8"/>
  <c r="U43" i="8"/>
  <c r="P34" i="8"/>
  <c r="U44" i="8"/>
  <c r="U45" i="8"/>
  <c r="T39" i="8"/>
  <c r="T40" i="8"/>
  <c r="T41" i="8"/>
  <c r="T42" i="8"/>
  <c r="T43" i="8"/>
  <c r="T44" i="8"/>
  <c r="T45" i="8"/>
  <c r="B45" i="8"/>
  <c r="B46" i="8"/>
  <c r="O45" i="8"/>
  <c r="T38" i="8"/>
  <c r="N41" i="8"/>
  <c r="L41" i="8"/>
  <c r="K41" i="8"/>
  <c r="J41" i="8"/>
  <c r="I41" i="8"/>
  <c r="H41" i="8"/>
  <c r="G41" i="8"/>
  <c r="F41" i="8"/>
  <c r="E41" i="8"/>
  <c r="D41" i="8"/>
  <c r="C41" i="8"/>
  <c r="B41" i="8"/>
  <c r="P38" i="8"/>
  <c r="O41" i="7"/>
  <c r="P41" i="7"/>
  <c r="U39" i="7"/>
  <c r="P35" i="7"/>
  <c r="U40" i="7"/>
  <c r="P33" i="7"/>
  <c r="U41" i="7"/>
  <c r="P31" i="7"/>
  <c r="U42" i="7"/>
  <c r="P32" i="7"/>
  <c r="U43" i="7"/>
  <c r="P34" i="7"/>
  <c r="U44" i="7"/>
  <c r="U45" i="7"/>
  <c r="T40" i="7"/>
  <c r="T41" i="7"/>
  <c r="T42" i="7"/>
  <c r="T43" i="7"/>
  <c r="T44" i="7"/>
  <c r="B45" i="7"/>
  <c r="B46" i="7"/>
  <c r="N41" i="7"/>
  <c r="L41" i="7"/>
  <c r="K41" i="7"/>
  <c r="J41" i="7"/>
  <c r="I41" i="7"/>
  <c r="H41" i="7"/>
  <c r="G41" i="7"/>
  <c r="F41" i="7"/>
  <c r="E41" i="7"/>
  <c r="D41" i="7"/>
  <c r="C41" i="7"/>
  <c r="B41" i="7"/>
  <c r="P38" i="7"/>
  <c r="O41" i="6"/>
  <c r="P41" i="6"/>
  <c r="U39" i="6"/>
  <c r="P35" i="6"/>
  <c r="U40" i="6"/>
  <c r="P33" i="6"/>
  <c r="U41" i="6"/>
  <c r="P31" i="6"/>
  <c r="U42" i="6"/>
  <c r="P32" i="6"/>
  <c r="U43" i="6"/>
  <c r="P34" i="6"/>
  <c r="U44" i="6"/>
  <c r="T39" i="6"/>
  <c r="T40" i="6"/>
  <c r="T41" i="6"/>
  <c r="T42" i="6"/>
  <c r="T43" i="6"/>
  <c r="T44" i="6"/>
  <c r="T45" i="6"/>
  <c r="B45" i="6"/>
  <c r="B46" i="6"/>
  <c r="O45" i="6"/>
  <c r="T38" i="6"/>
  <c r="N41" i="6"/>
  <c r="L41" i="6"/>
  <c r="K41" i="6"/>
  <c r="J41" i="6"/>
  <c r="I41" i="6"/>
  <c r="H41" i="6"/>
  <c r="G41" i="6"/>
  <c r="F41" i="6"/>
  <c r="E41" i="6"/>
  <c r="D41" i="6"/>
  <c r="C41" i="6"/>
  <c r="B41" i="6"/>
  <c r="P38" i="6"/>
  <c r="O41" i="5"/>
  <c r="P41" i="5"/>
  <c r="U39" i="5"/>
  <c r="P35" i="5"/>
  <c r="U40" i="5"/>
  <c r="P33" i="5"/>
  <c r="U41" i="5"/>
  <c r="P31" i="5"/>
  <c r="U42" i="5"/>
  <c r="P32" i="5"/>
  <c r="U43" i="5"/>
  <c r="T40" i="5"/>
  <c r="T41" i="5"/>
  <c r="T42" i="5"/>
  <c r="T43" i="5"/>
  <c r="B45" i="5"/>
  <c r="B46" i="5"/>
  <c r="N41" i="5"/>
  <c r="L41" i="5"/>
  <c r="K41" i="5"/>
  <c r="J41" i="5"/>
  <c r="I41" i="5"/>
  <c r="H41" i="5"/>
  <c r="G41" i="5"/>
  <c r="F41" i="5"/>
  <c r="E41" i="5"/>
  <c r="D41" i="5"/>
  <c r="C41" i="5"/>
  <c r="B41" i="5"/>
  <c r="O41" i="4"/>
  <c r="P41" i="4"/>
  <c r="U39" i="4"/>
  <c r="P35" i="4"/>
  <c r="U40" i="4"/>
  <c r="P33" i="4"/>
  <c r="U41" i="4"/>
  <c r="P31" i="4"/>
  <c r="U42" i="4"/>
  <c r="P32" i="4"/>
  <c r="U43" i="4"/>
  <c r="P34" i="4"/>
  <c r="U44" i="4"/>
  <c r="T39" i="4"/>
  <c r="T40" i="4"/>
  <c r="T41" i="4"/>
  <c r="T42" i="4"/>
  <c r="T43" i="4"/>
  <c r="T44" i="4"/>
  <c r="T45" i="4"/>
  <c r="B45" i="4"/>
  <c r="B46" i="4"/>
  <c r="O45" i="4"/>
  <c r="T38" i="4"/>
  <c r="N41" i="4"/>
  <c r="L41" i="4"/>
  <c r="K41" i="4"/>
  <c r="J41" i="4"/>
  <c r="I41" i="4"/>
  <c r="H41" i="4"/>
  <c r="G41" i="4"/>
  <c r="F41" i="4"/>
  <c r="E41" i="4"/>
  <c r="D41" i="4"/>
  <c r="C41" i="4"/>
  <c r="B41" i="4"/>
  <c r="O41" i="3"/>
  <c r="T40" i="3"/>
  <c r="T41" i="3"/>
  <c r="T42" i="3"/>
  <c r="T44" i="3"/>
  <c r="B45" i="3"/>
  <c r="B46" i="3"/>
  <c r="N41" i="3"/>
  <c r="L41" i="3"/>
  <c r="K41" i="3"/>
  <c r="J41" i="3"/>
  <c r="I41" i="3"/>
  <c r="H41" i="3"/>
  <c r="G41" i="3"/>
  <c r="F41" i="3"/>
  <c r="E41" i="3"/>
  <c r="D41" i="3"/>
  <c r="C41" i="3"/>
  <c r="B41" i="3"/>
  <c r="O41" i="2"/>
  <c r="T39" i="2"/>
  <c r="T41" i="2"/>
  <c r="T42" i="2"/>
  <c r="T44" i="2"/>
  <c r="N41" i="2"/>
  <c r="L41" i="2"/>
  <c r="K41" i="2"/>
  <c r="J41" i="2"/>
  <c r="I41" i="2"/>
  <c r="H41" i="2"/>
  <c r="G41" i="2"/>
  <c r="F41" i="2"/>
  <c r="E41" i="2"/>
  <c r="D41" i="2"/>
  <c r="C41" i="2"/>
  <c r="B41" i="2"/>
  <c r="N41" i="17"/>
  <c r="E41" i="17"/>
  <c r="G41" i="17"/>
  <c r="C41" i="17"/>
  <c r="U45" i="6"/>
  <c r="U45" i="15"/>
  <c r="H84" i="16"/>
  <c r="U45" i="4"/>
  <c r="U45" i="9"/>
  <c r="U45" i="11"/>
  <c r="U45" i="13"/>
  <c r="P38" i="16"/>
  <c r="M41" i="17"/>
  <c r="P38" i="4"/>
  <c r="O45" i="3"/>
  <c r="T38" i="3"/>
  <c r="T39" i="3"/>
  <c r="O45" i="5"/>
  <c r="T38" i="5"/>
  <c r="T39" i="5"/>
  <c r="O45" i="7"/>
  <c r="T38" i="7"/>
  <c r="T39" i="7"/>
  <c r="T45" i="7"/>
  <c r="O45" i="9"/>
  <c r="T38" i="9"/>
  <c r="T39" i="9"/>
  <c r="T45" i="9"/>
  <c r="O45" i="11"/>
  <c r="T38" i="11"/>
  <c r="T39" i="11"/>
  <c r="T45" i="11"/>
  <c r="O45" i="13"/>
  <c r="T38" i="13"/>
  <c r="T39" i="13"/>
  <c r="T45" i="13"/>
  <c r="O45" i="15"/>
  <c r="T38" i="15"/>
  <c r="T39" i="15"/>
  <c r="T45" i="15"/>
  <c r="O45" i="16"/>
  <c r="T38" i="16"/>
  <c r="T41" i="17"/>
  <c r="T19" i="6"/>
  <c r="O43" i="8"/>
  <c r="T19" i="13"/>
  <c r="O43" i="6"/>
  <c r="O43" i="9"/>
  <c r="T19" i="4"/>
  <c r="T19" i="7"/>
  <c r="T19" i="8"/>
  <c r="T19" i="10"/>
  <c r="O43" i="4"/>
  <c r="O43" i="10"/>
  <c r="T19" i="9"/>
  <c r="T19" i="16"/>
  <c r="O43" i="13"/>
  <c r="P35" i="3"/>
  <c r="U40" i="3"/>
  <c r="P33" i="3"/>
  <c r="U41" i="3"/>
  <c r="P31" i="3"/>
  <c r="U42" i="3"/>
  <c r="P32" i="3"/>
  <c r="U43" i="3"/>
  <c r="P34" i="3"/>
  <c r="U44" i="3"/>
  <c r="P41" i="3"/>
  <c r="U39" i="3"/>
  <c r="U45" i="3"/>
  <c r="P38" i="3"/>
  <c r="T43" i="3"/>
  <c r="T45" i="3"/>
  <c r="O43" i="3"/>
  <c r="T19" i="3"/>
  <c r="O43" i="2"/>
  <c r="T19" i="2"/>
  <c r="O35" i="2"/>
  <c r="T40" i="2"/>
  <c r="T43" i="2"/>
  <c r="T45" i="2"/>
  <c r="O39" i="2"/>
  <c r="P41" i="2"/>
  <c r="U39" i="2"/>
  <c r="P35" i="2"/>
  <c r="U40" i="2"/>
  <c r="P33" i="2"/>
  <c r="U41" i="2"/>
  <c r="P31" i="2"/>
  <c r="U42" i="2"/>
  <c r="P32" i="2"/>
  <c r="U43" i="2"/>
  <c r="P34" i="2"/>
  <c r="U44" i="2"/>
  <c r="U45" i="2"/>
  <c r="P38" i="2"/>
  <c r="B40" i="2"/>
  <c r="K41" i="17"/>
  <c r="I41" i="17"/>
  <c r="J41" i="17"/>
  <c r="L41" i="17"/>
  <c r="T40" i="17"/>
  <c r="D41" i="17"/>
  <c r="P32" i="17"/>
  <c r="U43" i="17"/>
  <c r="T43" i="17"/>
  <c r="F41" i="17"/>
  <c r="O41" i="17"/>
  <c r="H41" i="17"/>
  <c r="T19" i="15"/>
  <c r="O43" i="7"/>
  <c r="B46" i="2"/>
  <c r="O45" i="2"/>
  <c r="T38" i="2"/>
  <c r="T39" i="17"/>
  <c r="P41" i="17"/>
  <c r="U39" i="17"/>
  <c r="P35" i="17"/>
  <c r="U40" i="17"/>
  <c r="P33" i="17"/>
  <c r="U41" i="17"/>
  <c r="P31" i="17"/>
  <c r="O43" i="16"/>
  <c r="O43" i="15"/>
  <c r="T19" i="14"/>
  <c r="B45" i="17"/>
  <c r="O45" i="17"/>
  <c r="T38" i="17"/>
  <c r="U42" i="17"/>
  <c r="O43" i="14"/>
  <c r="C42" i="17"/>
  <c r="O42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T19" i="17"/>
  <c r="T44" i="17"/>
  <c r="T45" i="17"/>
  <c r="P34" i="17"/>
  <c r="P38" i="17"/>
  <c r="U44" i="17"/>
  <c r="U45" i="17"/>
  <c r="P34" i="5"/>
  <c r="U44" i="5"/>
  <c r="U45" i="5"/>
  <c r="P38" i="5"/>
  <c r="T44" i="5"/>
  <c r="T45" i="5"/>
  <c r="C42" i="5"/>
  <c r="O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T19" i="5"/>
  <c r="T33" i="5"/>
  <c r="T34" i="5"/>
  <c r="U22" i="5"/>
  <c r="U23" i="5"/>
  <c r="U24" i="5"/>
  <c r="U25" i="5"/>
  <c r="U26" i="5"/>
  <c r="U27" i="5"/>
  <c r="U28" i="5"/>
  <c r="U29" i="5"/>
  <c r="U30" i="5"/>
  <c r="U31" i="5"/>
  <c r="U32" i="5"/>
  <c r="U33" i="5"/>
  <c r="U34" i="5"/>
  <c r="T27" i="17"/>
  <c r="T34" i="17"/>
  <c r="U22" i="17"/>
  <c r="U23" i="17"/>
  <c r="U24" i="17"/>
  <c r="U25" i="17"/>
  <c r="U26" i="17"/>
  <c r="U27" i="17"/>
  <c r="U28" i="17"/>
  <c r="U29" i="17"/>
  <c r="U30" i="17"/>
  <c r="U31" i="17"/>
  <c r="U32" i="17"/>
  <c r="U33" i="17"/>
  <c r="U34" i="17"/>
</calcChain>
</file>

<file path=xl/comments1.xml><?xml version="1.0" encoding="utf-8"?>
<comments xmlns="http://schemas.openxmlformats.org/spreadsheetml/2006/main">
  <authors>
    <author>Kaj</author>
    <author>www.statistikdatabasen.scb.se</author>
    <author>Rickard</author>
  </authors>
  <commentList>
    <comment ref="N17" authorId="0">
      <text>
        <r>
          <rPr>
            <b/>
            <sz val="9"/>
            <color indexed="81"/>
            <rFont val="Calibri"/>
            <family val="2"/>
          </rPr>
          <t>Kaj:</t>
        </r>
        <r>
          <rPr>
            <sz val="9"/>
            <color indexed="81"/>
            <rFont val="Calibri"/>
            <family val="2"/>
          </rPr>
          <t xml:space="preserve">
El till elpannor och värmepumpar.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M32" authorId="2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Starka gaser + Metanol + Skruvpressrejekt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  <author>Rickard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Medel 2009-2014</t>
        </r>
      </text>
    </comment>
    <comment ref="C36" authorId="2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  <author>Rickard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Medel 2011-2013</t>
        </r>
      </text>
    </comment>
    <comment ref="B35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Ordinare från KRE + överflöd</t>
        </r>
      </text>
    </comment>
    <comment ref="C36" authorId="2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  <author>Kaj</author>
    <author>Rickard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1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  <comment ref="N39" authorId="2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Medelvärde 09-13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1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14.xml><?xml version="1.0" encoding="utf-8"?>
<comments xmlns="http://schemas.openxmlformats.org/spreadsheetml/2006/main">
  <authors>
    <author>Rickard</author>
    <author>www.statistikdatabasen.scb.se</author>
    <author>Kaj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SvFj</t>
        </r>
      </text>
    </comment>
    <comment ref="B1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Summa av:
SCB: KVV, fristående och rökgaskondens
UEAB: Elpannor och värmepumpar</t>
        </r>
      </text>
    </comment>
    <comment ref="N1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Beräknad utifrån värmeproduktionen av elpannor och värmepumpar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21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Köpt värme</t>
        </r>
      </text>
    </comment>
    <comment ref="N31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Medel 2009-2003</t>
        </r>
      </text>
    </comment>
    <comment ref="H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Representeras som starkgas under övrigt</t>
        </r>
      </text>
    </comment>
    <comment ref="M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Starka gaser + Metanol + Skruvpressrejekt</t>
        </r>
      </text>
    </comment>
    <comment ref="O32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Justerad för mottryck</t>
        </r>
      </text>
    </comment>
    <comment ref="C36" authorId="2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  <comment ref="N3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Utifrån förhållandet mellan småhus och flerbostadshus genom åren</t>
        </r>
      </text>
    </comment>
    <comment ref="N3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På samma vis som för flerbostadshus</t>
        </r>
      </text>
    </comment>
    <comment ref="N39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Justerad för mottryck</t>
        </r>
      </text>
    </comment>
    <comment ref="O39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Justerad för mottryck och olja i småhus.</t>
        </r>
      </text>
    </comment>
    <comment ref="L50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Beckolja</t>
        </r>
      </text>
    </comment>
    <comment ref="M50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Starka gaser + Metanol + Skruvpressrejekt</t>
        </r>
      </text>
    </comment>
    <comment ref="N50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Exklusive mottryck</t>
        </r>
      </text>
    </comment>
    <comment ref="N51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Besparningar jämtemot 2014.</t>
        </r>
      </text>
    </comment>
    <comment ref="N5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Uttagen värmeenergi från biobränslepannorna, beräkna insatt energi genom 90% verkningsgrad</t>
        </r>
      </text>
    </comment>
  </commentList>
</comments>
</file>

<file path=xl/comments15.xml><?xml version="1.0" encoding="utf-8"?>
<comments xmlns="http://schemas.openxmlformats.org/spreadsheetml/2006/main">
  <authors>
    <author>Rickard</author>
    <author>www.statistikdatabasen.scb.se</author>
    <author>Kaj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2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16.xml><?xml version="1.0" encoding="utf-8"?>
<comments xmlns="http://schemas.openxmlformats.org/spreadsheetml/2006/main">
  <authors>
    <author>Rickard</author>
    <author>www.statistikdatabasen.scb.se</author>
    <author>Kaj</author>
  </authors>
  <commentList>
    <comment ref="B6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SvFj</t>
        </r>
      </text>
    </comment>
    <comment ref="C1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SvFj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3" authorId="2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  <comment ref="C35" authorId="2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  <comment ref="C36" authorId="2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  <author>Rickard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B33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Beräknas som resterande fjärrvärme fördelat proportionellt mellan industri, offentlig verksamhet och övriga tjänster.</t>
        </r>
      </text>
    </comment>
  </commentList>
</comments>
</file>

<file path=xl/comments3.xml><?xml version="1.0" encoding="utf-8"?>
<comments xmlns="http://schemas.openxmlformats.org/spreadsheetml/2006/main">
  <authors>
    <author>Rickard</author>
    <author>www.statistikdatabasen.scb.se</author>
    <author>Kaj</author>
  </authors>
  <commentList>
    <comment ref="B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</t>
        </r>
      </text>
    </comment>
    <comment ref="C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Svensk fjärrvärme</t>
        </r>
      </text>
    </comment>
    <comment ref="G18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Svensk fjärrvärme
</t>
        </r>
      </text>
    </comment>
    <comment ref="A19" authorId="1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1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N32" authorId="2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Medelvärde för 2012-2013.</t>
        </r>
      </text>
    </comment>
    <comment ref="B37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flerbostadshus + samfälligheter</t>
        </r>
      </text>
    </comment>
    <comment ref="B39" authorId="0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Fjärrvärmekollen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  <author>Rickard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2" authorId="1">
      <text>
        <r>
          <rPr>
            <b/>
            <sz val="9"/>
            <color indexed="81"/>
            <rFont val="Tahoma"/>
            <family val="2"/>
          </rPr>
          <t>Rickard:</t>
        </r>
        <r>
          <rPr>
            <sz val="9"/>
            <color indexed="81"/>
            <rFont val="Tahoma"/>
            <family val="2"/>
          </rPr>
          <t xml:space="preserve">
Samma som 2014, små ändringar från år till år</t>
        </r>
      </text>
    </comment>
    <comment ref="C36" authorId="2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1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1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1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1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  <author>Kaj</author>
  </authors>
  <commentList>
    <comment ref="A19" authorId="0">
      <text>
        <r>
          <rPr>
            <sz val="8"/>
            <color indexed="8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0" authorId="0">
      <text>
        <r>
          <rPr>
            <sz val="8"/>
            <color indexed="8"/>
            <rFont val="Tahoma"/>
            <family val="2"/>
          </rPr>
          <t xml:space="preserve">2. Värmepumparnas elanvändning motsvarar ungefär 0.33 x producerad mängd värme (räknat i MWh).
</t>
        </r>
      </text>
    </comment>
    <comment ref="C36" authorId="1">
      <text>
        <r>
          <rPr>
            <b/>
            <sz val="10"/>
            <color indexed="81"/>
            <rFont val="Calibri"/>
            <family val="2"/>
          </rPr>
          <t>Kaj:</t>
        </r>
        <r>
          <rPr>
            <sz val="10"/>
            <color indexed="81"/>
            <rFont val="Calibri"/>
            <family val="2"/>
          </rPr>
          <t xml:space="preserve">
Korrigerat till riksgenomsnitt per inv. pga orimligt högt värde.</t>
        </r>
      </text>
    </comment>
  </commentList>
</comments>
</file>

<file path=xl/sharedStrings.xml><?xml version="1.0" encoding="utf-8"?>
<sst xmlns="http://schemas.openxmlformats.org/spreadsheetml/2006/main" count="1815" uniqueCount="160">
  <si>
    <t>Elproduktion och bränsleanvändning (MWh) efter tid, region, produktionssätt och bränsletyp</t>
  </si>
  <si>
    <t>2401 Nordmaling</t>
  </si>
  <si>
    <t>Elproduktion</t>
  </si>
  <si>
    <t>Olja</t>
  </si>
  <si>
    <t>Kol och koks</t>
  </si>
  <si>
    <t>Gasol/naturgas</t>
  </si>
  <si>
    <t>Avlutar</t>
  </si>
  <si>
    <t>Biogas</t>
  </si>
  <si>
    <t>Torv</t>
  </si>
  <si>
    <t>Avfall</t>
  </si>
  <si>
    <t>Övrigt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</si>
  <si>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</si>
  <si>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</si>
  <si>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</si>
  <si>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</si>
  <si>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</si>
  <si>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</si>
  <si>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</si>
  <si>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</si>
  <si>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</si>
  <si>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</si>
  <si>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</si>
  <si>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</si>
  <si>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</si>
  <si>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</si>
  <si>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</si>
  <si>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</si>
  <si>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</si>
  <si>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</si>
  <si>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</si>
  <si>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</si>
  <si>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Fjärrvärme</t>
  </si>
  <si>
    <t>Biodrivmedel</t>
  </si>
  <si>
    <t>Biobränsle</t>
  </si>
  <si>
    <t>Summa förbrukarkategori</t>
  </si>
  <si>
    <t>Gasol</t>
  </si>
  <si>
    <t>slutanv. jordbruk,skogsbruk,fiske</t>
  </si>
  <si>
    <t>Jord, skog</t>
  </si>
  <si>
    <t>Oljeprodukter</t>
  </si>
  <si>
    <t>slutanv. industri, byggverks.</t>
  </si>
  <si>
    <t>industri</t>
  </si>
  <si>
    <t>slutanv. offentlig verksamhet</t>
  </si>
  <si>
    <t>offentligt</t>
  </si>
  <si>
    <t>slutanv. transporter</t>
  </si>
  <si>
    <t>transporter</t>
  </si>
  <si>
    <t>slutanv. övriga tjänster</t>
  </si>
  <si>
    <t>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</si>
  <si>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</si>
  <si>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</si>
  <si>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</si>
  <si>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</si>
  <si>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</si>
  <si>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</si>
  <si>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</si>
  <si>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</si>
  <si>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</si>
  <si>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</si>
  <si>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</si>
  <si>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</si>
  <si>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</si>
  <si>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</si>
  <si>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</si>
  <si>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2403 Bjurholm</t>
  </si>
  <si>
    <t>2404 Vindeln</t>
  </si>
  <si>
    <t>2409 Robertsfors</t>
  </si>
  <si>
    <t>2417 Norsjö</t>
  </si>
  <si>
    <t>2418 Malå</t>
  </si>
  <si>
    <t>2421 Storuman</t>
  </si>
  <si>
    <t>2422 Sorsele</t>
  </si>
  <si>
    <t>2425 Dorotea</t>
  </si>
  <si>
    <t>2460 Vännäs</t>
  </si>
  <si>
    <t>2462 Vilhelmina</t>
  </si>
  <si>
    <t>2463 Åsele</t>
  </si>
  <si>
    <t>2480 Umeå</t>
  </si>
  <si>
    <t>2481 Lycksele</t>
  </si>
  <si>
    <t>2482 Skellefteå</t>
  </si>
  <si>
    <t xml:space="preserve">Flerfamiljshus </t>
  </si>
  <si>
    <t xml:space="preserve">Mest flerfam </t>
  </si>
  <si>
    <t>Bjurholm</t>
  </si>
  <si>
    <t>Markvärme</t>
  </si>
  <si>
    <t>Offentlig</t>
  </si>
  <si>
    <t>Övriga</t>
  </si>
  <si>
    <t>Tillverkande industri som har en egen anläggning</t>
  </si>
  <si>
    <t>Köper färdig värme från en såg</t>
  </si>
  <si>
    <t>Småhus</t>
  </si>
  <si>
    <t>Umeå</t>
  </si>
  <si>
    <t>Justerad tabell för att matcha 7584</t>
  </si>
  <si>
    <t>Bjurholm ingår toalt 7584 MWh (i Bjurholm)</t>
  </si>
  <si>
    <t>SCA Packaging</t>
  </si>
  <si>
    <t>CO2-utsläpp enligt utsläppshandeln</t>
  </si>
  <si>
    <t>ton CO2</t>
  </si>
  <si>
    <t>Rönnskärsverken</t>
  </si>
  <si>
    <t>Beckolja</t>
  </si>
  <si>
    <t>EO1</t>
  </si>
  <si>
    <t>Metanol</t>
  </si>
  <si>
    <t>Starka gaser</t>
  </si>
  <si>
    <t>Tjocklut</t>
  </si>
  <si>
    <t>Elförbrukning</t>
  </si>
  <si>
    <t>MWh</t>
  </si>
  <si>
    <t>Egenprod el</t>
  </si>
  <si>
    <t>Kankbergsgruvan</t>
  </si>
  <si>
    <t>ton CO2 från gasol, diesel och sprängämnen. Finns sammanställt i bilaga 3 som vi inte har</t>
  </si>
  <si>
    <t>Björkdalsgruvan</t>
  </si>
  <si>
    <t>Diesel</t>
  </si>
  <si>
    <t>m3</t>
  </si>
  <si>
    <t>ton</t>
  </si>
  <si>
    <t>koks (reduktionsmedel)</t>
  </si>
  <si>
    <t>kol (reduktionsmedel)</t>
  </si>
  <si>
    <t>EO5</t>
  </si>
  <si>
    <t>EO WRD</t>
  </si>
  <si>
    <t>EO WRD spillolja</t>
  </si>
  <si>
    <t>gasol</t>
  </si>
  <si>
    <t>MWh/ton</t>
  </si>
  <si>
    <t>Kol</t>
  </si>
  <si>
    <t>Koks</t>
  </si>
  <si>
    <t>Energivärden enligt SSAB Oxelösund</t>
  </si>
  <si>
    <t>Förnybart</t>
  </si>
  <si>
    <t>Flytande förnybart</t>
  </si>
  <si>
    <t>alla</t>
  </si>
  <si>
    <t>Energiförsörjning</t>
  </si>
  <si>
    <t>Industriprocesser</t>
  </si>
  <si>
    <t>Arbetsmaskiner Tot</t>
  </si>
  <si>
    <t>Produktanvändning</t>
  </si>
  <si>
    <t>Jordbruk</t>
  </si>
  <si>
    <t>Avfall och avlopp</t>
  </si>
  <si>
    <t>Internationell luftfart och sjöfart</t>
  </si>
  <si>
    <t>Skellefteå</t>
  </si>
  <si>
    <t>Västerbotten</t>
  </si>
  <si>
    <t>CO2 enligt RUS</t>
  </si>
  <si>
    <t>CO2</t>
  </si>
  <si>
    <t>ton/MWh</t>
  </si>
  <si>
    <t>Biobränslen</t>
  </si>
  <si>
    <t>Träbränslen</t>
  </si>
  <si>
    <t>Mottryck</t>
  </si>
  <si>
    <t>Oljeleveranser SCB</t>
  </si>
  <si>
    <t>2015</t>
  </si>
  <si>
    <t>1000 m3</t>
  </si>
  <si>
    <t>motorbensin</t>
  </si>
  <si>
    <t>dieselbränsle</t>
  </si>
  <si>
    <t>etanol</t>
  </si>
  <si>
    <t>eldningsolja nr 1</t>
  </si>
  <si>
    <t>eldningsolja nr 1 därav ej SNI 05-33, 35</t>
  </si>
  <si>
    <t xml:space="preserve">eldningsolja nr 3-6 </t>
  </si>
  <si>
    <t>Rundviks sågverk MR</t>
  </si>
  <si>
    <t>Ålidhemsanläggningen</t>
  </si>
  <si>
    <t>Fristående värmeverk</t>
  </si>
  <si>
    <t>SCA OBBOLA MR</t>
  </si>
  <si>
    <t>Spillvärme</t>
  </si>
  <si>
    <t>Kraftvärmeverk</t>
  </si>
  <si>
    <t>Dåva kraftvärmeverk</t>
  </si>
  <si>
    <t>Renströmsgruvan MR</t>
  </si>
  <si>
    <t>Volvo MR</t>
  </si>
  <si>
    <t>X - 2800</t>
  </si>
  <si>
    <t>Rönnskärsverken MR</t>
  </si>
  <si>
    <t>Ordinarie uträknad summa industri</t>
  </si>
  <si>
    <t>Skillnad</t>
  </si>
  <si>
    <t>Elförbrukning offentlig verksamhet och övriga tjänster</t>
  </si>
  <si>
    <t>Medel</t>
  </si>
  <si>
    <t>Solceller</t>
  </si>
  <si>
    <t>El-export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</si>
</sst>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%"/>
    <numFmt numFmtId="166" formatCode="0.0"/>
    <numFmt numFmtId="167" formatCode="#,##0.000"/>
    <numFmt numFmtId="168" formatCode="0.000E+00"/>
    <numFmt numFmtId="169" formatCode="0.000"/>
    <numFmt numFmtId="170" formatCode="#,##0.0000"/>
  </numFmts>
  <fonts count="4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i/>
      <sz val="12"/>
      <color indexed="8"/>
      <name val="Calibri"/>
      <family val="2"/>
    </font>
    <font>
      <b/>
      <sz val="12"/>
      <color indexed="8"/>
      <name val="Calibri"/>
      <family val="2"/>
    </font>
    <font>
      <sz val="8"/>
      <color indexed="8"/>
      <name val="Tahoma"/>
      <family val="2"/>
    </font>
    <font>
      <i/>
      <sz val="11"/>
      <color rgb="FF000000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color indexed="8"/>
      <name val="Times New Roman"/>
      <family val="1"/>
    </font>
    <font>
      <i/>
      <sz val="11"/>
      <color rgb="FF000000"/>
      <name val="Calibri"/>
      <family val="2"/>
    </font>
    <font>
      <i/>
      <sz val="12"/>
      <color rgb="FF000000"/>
      <name val="Calibri"/>
      <family val="2"/>
    </font>
    <font>
      <sz val="12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3.2"/>
      <color rgb="FF000000"/>
      <name val="Inherit"/>
    </font>
    <font>
      <sz val="10"/>
      <color indexed="81"/>
      <name val="Calibri"/>
      <family val="2"/>
    </font>
    <font>
      <b/>
      <sz val="10"/>
      <color indexed="81"/>
      <name val="Calibri"/>
      <family val="2"/>
    </font>
    <font>
      <u/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rgb="FFFF0000"/>
      <name val="Calibri"/>
      <family val="2"/>
      <scheme val="minor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rgb="FFFF0000"/>
      <name val="Calibri"/>
      <family val="2"/>
    </font>
    <font>
      <i/>
      <sz val="11"/>
      <color rgb="FF000000"/>
      <name val="Calibri"/>
      <family val="2"/>
      <scheme val="minor"/>
    </font>
    <font>
      <u/>
      <sz val="11"/>
      <color rgb="FF000000"/>
      <name val="Calibri"/>
      <family val="2"/>
    </font>
    <font>
      <u/>
      <sz val="11"/>
      <color rgb="FF000000"/>
      <name val="Calibri"/>
      <family val="2"/>
      <scheme val="minor"/>
    </font>
    <font>
      <u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1">
    <border>
      <left/>
      <right/>
      <top/>
      <bottom/>
      <diagonal/>
    </border>
  </borders>
  <cellStyleXfs count="87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3" fillId="0" borderId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80">
    <xf numFmtId="0" fontId="0" fillId="0" borderId="0" xfId="0"/>
    <xf numFmtId="0" fontId="6" fillId="0" borderId="0" xfId="1" applyFont="1" applyFill="1" applyProtection="1"/>
    <xf numFmtId="0" fontId="5" fillId="0" borderId="0" xfId="1" applyFill="1" applyProtection="1"/>
    <xf numFmtId="0" fontId="7" fillId="0" borderId="0" xfId="1" applyFont="1"/>
    <xf numFmtId="0" fontId="8" fillId="0" borderId="0" xfId="0" applyFont="1"/>
    <xf numFmtId="0" fontId="9" fillId="0" borderId="0" xfId="1" applyFont="1" applyFill="1" applyProtection="1"/>
    <xf numFmtId="3" fontId="5" fillId="0" borderId="0" xfId="1" applyNumberFormat="1"/>
    <xf numFmtId="0" fontId="5" fillId="0" borderId="0" xfId="1"/>
    <xf numFmtId="0" fontId="9" fillId="0" borderId="0" xfId="0" applyFont="1" applyFill="1" applyProtection="1"/>
    <xf numFmtId="3" fontId="10" fillId="0" borderId="0" xfId="0" applyNumberFormat="1" applyFont="1"/>
    <xf numFmtId="3" fontId="10" fillId="0" borderId="0" xfId="0" applyNumberFormat="1" applyFont="1" applyAlignment="1">
      <alignment horizontal="right"/>
    </xf>
    <xf numFmtId="3" fontId="5" fillId="0" borderId="0" xfId="1" applyNumberFormat="1" applyFill="1" applyProtection="1"/>
    <xf numFmtId="3" fontId="11" fillId="0" borderId="0" xfId="1" applyNumberFormat="1" applyFont="1" applyFill="1" applyProtection="1"/>
    <xf numFmtId="164" fontId="5" fillId="0" borderId="0" xfId="1" applyNumberFormat="1"/>
    <xf numFmtId="4" fontId="5" fillId="0" borderId="0" xfId="1" applyNumberFormat="1"/>
    <xf numFmtId="165" fontId="5" fillId="0" borderId="0" xfId="1" applyNumberFormat="1"/>
    <xf numFmtId="10" fontId="5" fillId="0" borderId="0" xfId="1" applyNumberFormat="1"/>
    <xf numFmtId="165" fontId="12" fillId="0" borderId="0" xfId="1" applyNumberFormat="1" applyFont="1"/>
    <xf numFmtId="165" fontId="7" fillId="0" borderId="0" xfId="1" applyNumberFormat="1" applyFont="1"/>
    <xf numFmtId="166" fontId="5" fillId="0" borderId="0" xfId="1" applyNumberFormat="1"/>
    <xf numFmtId="2" fontId="5" fillId="0" borderId="0" xfId="1" applyNumberFormat="1"/>
    <xf numFmtId="0" fontId="13" fillId="0" borderId="0" xfId="1" applyFont="1"/>
    <xf numFmtId="3" fontId="13" fillId="0" borderId="0" xfId="1" applyNumberFormat="1" applyFont="1"/>
    <xf numFmtId="3" fontId="12" fillId="0" borderId="0" xfId="1" applyNumberFormat="1" applyFont="1"/>
    <xf numFmtId="3" fontId="12" fillId="2" borderId="0" xfId="1" applyNumberFormat="1" applyFont="1" applyFill="1"/>
    <xf numFmtId="3" fontId="14" fillId="2" borderId="0" xfId="1" applyNumberFormat="1" applyFont="1" applyFill="1"/>
    <xf numFmtId="3" fontId="5" fillId="2" borderId="0" xfId="1" applyNumberFormat="1" applyFill="1"/>
    <xf numFmtId="0" fontId="10" fillId="0" borderId="0" xfId="0" applyFont="1"/>
    <xf numFmtId="0" fontId="10" fillId="0" borderId="0" xfId="0" applyFont="1" applyAlignment="1">
      <alignment horizontal="right"/>
    </xf>
    <xf numFmtId="1" fontId="5" fillId="0" borderId="0" xfId="1" applyNumberFormat="1"/>
    <xf numFmtId="165" fontId="12" fillId="0" borderId="0" xfId="2" applyNumberFormat="1" applyFont="1"/>
    <xf numFmtId="165" fontId="4" fillId="0" borderId="0" xfId="2" applyNumberFormat="1" applyFont="1"/>
    <xf numFmtId="3" fontId="14" fillId="0" borderId="0" xfId="1" applyNumberFormat="1" applyFont="1"/>
    <xf numFmtId="9" fontId="14" fillId="0" borderId="0" xfId="2" applyFont="1"/>
    <xf numFmtId="0" fontId="5" fillId="0" borderId="0" xfId="1" applyAlignment="1">
      <alignment horizontal="right"/>
    </xf>
    <xf numFmtId="3" fontId="5" fillId="0" borderId="0" xfId="1" applyNumberFormat="1" applyAlignment="1">
      <alignment horizontal="right"/>
    </xf>
    <xf numFmtId="9" fontId="14" fillId="0" borderId="0" xfId="2" applyNumberFormat="1" applyFont="1"/>
    <xf numFmtId="9" fontId="4" fillId="0" borderId="0" xfId="2" applyFont="1"/>
    <xf numFmtId="3" fontId="16" fillId="0" borderId="0" xfId="0" applyNumberFormat="1" applyFont="1"/>
    <xf numFmtId="167" fontId="5" fillId="0" borderId="0" xfId="1" applyNumberFormat="1" applyFill="1" applyProtection="1"/>
    <xf numFmtId="3" fontId="7" fillId="0" borderId="0" xfId="1" applyNumberFormat="1" applyFont="1"/>
    <xf numFmtId="0" fontId="0" fillId="0" borderId="0" xfId="0" applyFill="1" applyProtection="1"/>
    <xf numFmtId="0" fontId="5" fillId="0" borderId="0" xfId="1" applyFont="1" applyFill="1" applyProtection="1"/>
    <xf numFmtId="3" fontId="0" fillId="0" borderId="0" xfId="1" applyNumberFormat="1" applyFont="1"/>
    <xf numFmtId="0" fontId="10" fillId="0" borderId="0" xfId="35" applyFont="1"/>
    <xf numFmtId="168" fontId="21" fillId="0" borderId="0" xfId="0" applyNumberFormat="1" applyFont="1" applyFill="1" applyBorder="1" applyAlignment="1" applyProtection="1"/>
    <xf numFmtId="0" fontId="22" fillId="0" borderId="0" xfId="1" applyFont="1"/>
    <xf numFmtId="169" fontId="5" fillId="0" borderId="0" xfId="1" applyNumberFormat="1"/>
    <xf numFmtId="0" fontId="5" fillId="0" borderId="0" xfId="1" applyFont="1"/>
    <xf numFmtId="0" fontId="22" fillId="0" borderId="0" xfId="1" applyFont="1" applyFill="1" applyProtection="1"/>
    <xf numFmtId="3" fontId="22" fillId="0" borderId="0" xfId="1" applyNumberFormat="1" applyFont="1" applyFill="1" applyProtection="1"/>
    <xf numFmtId="0" fontId="16" fillId="0" borderId="0" xfId="0" applyFont="1"/>
    <xf numFmtId="3" fontId="23" fillId="0" borderId="0" xfId="1" applyNumberFormat="1" applyFont="1"/>
    <xf numFmtId="3" fontId="0" fillId="0" borderId="0" xfId="0" applyNumberFormat="1" applyFill="1" applyProtection="1"/>
    <xf numFmtId="165" fontId="5" fillId="0" borderId="0" xfId="1" applyNumberFormat="1" applyFill="1" applyProtection="1"/>
    <xf numFmtId="170" fontId="5" fillId="0" borderId="0" xfId="1" applyNumberFormat="1" applyFill="1" applyProtection="1"/>
    <xf numFmtId="3" fontId="24" fillId="0" borderId="0" xfId="0" applyNumberFormat="1" applyFont="1" applyFill="1" applyProtection="1"/>
    <xf numFmtId="3" fontId="5" fillId="0" borderId="0" xfId="1" applyNumberFormat="1" applyFont="1"/>
    <xf numFmtId="3" fontId="5" fillId="0" borderId="0" xfId="1" applyNumberFormat="1" applyFont="1" applyFill="1" applyProtection="1"/>
    <xf numFmtId="164" fontId="5" fillId="0" borderId="0" xfId="1" applyNumberFormat="1" applyFill="1" applyProtection="1"/>
    <xf numFmtId="9" fontId="5" fillId="0" borderId="0" xfId="82" applyFont="1"/>
    <xf numFmtId="0" fontId="26" fillId="0" borderId="0" xfId="0" applyFont="1"/>
    <xf numFmtId="3" fontId="29" fillId="0" borderId="0" xfId="0" applyNumberFormat="1" applyFont="1" applyFill="1" applyProtection="1"/>
    <xf numFmtId="3" fontId="0" fillId="0" borderId="0" xfId="0" applyNumberFormat="1" applyFont="1" applyFill="1" applyProtection="1"/>
    <xf numFmtId="9" fontId="5" fillId="0" borderId="0" xfId="82" applyFont="1" applyFill="1" applyProtection="1"/>
    <xf numFmtId="3" fontId="32" fillId="0" borderId="0" xfId="0" applyNumberFormat="1" applyFont="1" applyFill="1" applyProtection="1"/>
    <xf numFmtId="3" fontId="33" fillId="0" borderId="0" xfId="0" applyNumberFormat="1" applyFont="1" applyFill="1" applyProtection="1"/>
    <xf numFmtId="166" fontId="5" fillId="0" borderId="0" xfId="1" applyNumberFormat="1" applyFill="1" applyProtection="1"/>
    <xf numFmtId="3" fontId="8" fillId="0" borderId="0" xfId="0" applyNumberFormat="1" applyFont="1"/>
    <xf numFmtId="3" fontId="0" fillId="0" borderId="0" xfId="0" applyNumberFormat="1" applyFont="1" applyFill="1" applyAlignment="1" applyProtection="1">
      <alignment horizontal="right"/>
    </xf>
    <xf numFmtId="1" fontId="9" fillId="0" borderId="0" xfId="1" applyNumberFormat="1" applyFont="1"/>
    <xf numFmtId="3" fontId="34" fillId="0" borderId="0" xfId="0" applyNumberFormat="1" applyFont="1" applyFill="1" applyProtection="1"/>
    <xf numFmtId="3" fontId="35" fillId="0" borderId="0" xfId="0" applyNumberFormat="1" applyFont="1" applyFill="1" applyProtection="1"/>
    <xf numFmtId="3" fontId="36" fillId="0" borderId="0" xfId="1" applyNumberFormat="1" applyFont="1" applyFill="1" applyProtection="1"/>
    <xf numFmtId="3" fontId="37" fillId="0" borderId="0" xfId="0" applyNumberFormat="1" applyFont="1"/>
    <xf numFmtId="0" fontId="38" fillId="0" borderId="0" xfId="1" applyFont="1" applyFill="1" applyProtection="1"/>
    <xf numFmtId="0" fontId="9" fillId="0" borderId="0" xfId="1" applyFont="1"/>
    <xf numFmtId="3" fontId="39" fillId="0" borderId="0" xfId="0" applyNumberFormat="1" applyFont="1" applyAlignment="1">
      <alignment horizontal="right"/>
    </xf>
    <xf numFmtId="3" fontId="40" fillId="0" borderId="0" xfId="0" applyNumberFormat="1" applyFont="1" applyFill="1" applyProtection="1"/>
    <xf numFmtId="165" fontId="5" fillId="0" borderId="0" xfId="82" applyNumberFormat="1" applyFont="1" applyFill="1" applyProtection="1"/>
  </cellXfs>
  <cellStyles count="87">
    <cellStyle name="Följd hyperlänk" xfId="4" builtinId="9" hidden="1"/>
    <cellStyle name="Följd hyperlänk" xfId="6" builtinId="9" hidden="1"/>
    <cellStyle name="Följd hyperlänk" xfId="8" builtinId="9" hidden="1"/>
    <cellStyle name="Följd hyperlänk" xfId="10" builtinId="9" hidden="1"/>
    <cellStyle name="Följd hyperlänk" xfId="12" builtinId="9" hidden="1"/>
    <cellStyle name="Följd hyperlänk" xfId="14" builtinId="9" hidden="1"/>
    <cellStyle name="Följd hyperlänk" xfId="16" builtinId="9" hidden="1"/>
    <cellStyle name="Följd hyperlänk" xfId="18" builtinId="9" hidden="1"/>
    <cellStyle name="Följd hyperlänk" xfId="20" builtinId="9" hidden="1"/>
    <cellStyle name="Följd hyperlänk" xfId="22" builtinId="9" hidden="1"/>
    <cellStyle name="Följd hyperlänk" xfId="24" builtinId="9" hidden="1"/>
    <cellStyle name="Följd hyperlänk" xfId="26" builtinId="9" hidden="1"/>
    <cellStyle name="Följd hyperlänk" xfId="28" builtinId="9" hidden="1"/>
    <cellStyle name="Följd hyperlänk" xfId="30" builtinId="9" hidden="1"/>
    <cellStyle name="Följd hyperlänk" xfId="32" builtinId="9" hidden="1"/>
    <cellStyle name="Följd hyperlänk" xfId="34" builtinId="9" hidden="1"/>
    <cellStyle name="Följd hyperlänk" xfId="37" builtinId="9" hidden="1"/>
    <cellStyle name="Följd hyperlänk" xfId="39" builtinId="9" hidden="1"/>
    <cellStyle name="Följd hyperlänk" xfId="41" builtinId="9" hidden="1"/>
    <cellStyle name="Följd hyperlänk" xfId="43" builtinId="9" hidden="1"/>
    <cellStyle name="Följd hyperlänk" xfId="45" builtinId="9" hidden="1"/>
    <cellStyle name="Följd hyperlänk" xfId="47" builtinId="9" hidden="1"/>
    <cellStyle name="Följd hyperlänk" xfId="49" builtinId="9" hidden="1"/>
    <cellStyle name="Följd hyperlänk" xfId="51" builtinId="9" hidden="1"/>
    <cellStyle name="Följd hyperlänk" xfId="53" builtinId="9" hidden="1"/>
    <cellStyle name="Följd hyperlänk" xfId="55" builtinId="9" hidden="1"/>
    <cellStyle name="Följd hyperlänk" xfId="57" builtinId="9" hidden="1"/>
    <cellStyle name="Följd hyperlänk" xfId="59" builtinId="9" hidden="1"/>
    <cellStyle name="Följd hyperlänk" xfId="61" builtinId="9" hidden="1"/>
    <cellStyle name="Följd hyperlänk" xfId="63" builtinId="9" hidden="1"/>
    <cellStyle name="Följd hyperlänk" xfId="65" builtinId="9" hidden="1"/>
    <cellStyle name="Följd hyperlänk" xfId="67" builtinId="9" hidden="1"/>
    <cellStyle name="Följd hyperlänk" xfId="69" builtinId="9" hidden="1"/>
    <cellStyle name="Följd hyperlänk" xfId="71" builtinId="9" hidden="1"/>
    <cellStyle name="Följd hyperlänk" xfId="73" builtinId="9" hidden="1"/>
    <cellStyle name="Följd hyperlänk" xfId="75" builtinId="9" hidden="1"/>
    <cellStyle name="Följd hyperlänk" xfId="77" builtinId="9" hidden="1"/>
    <cellStyle name="Följd hyperlänk" xfId="79" builtinId="9" hidden="1"/>
    <cellStyle name="Följd hyperlänk" xfId="81" builtinId="9" hidden="1"/>
    <cellStyle name="Följd hyperlänk" xfId="86" builtinId="9" hidden="1"/>
    <cellStyle name="Hyperlänk" xfId="3" builtinId="8" hidden="1"/>
    <cellStyle name="Hyperlänk" xfId="5" builtinId="8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15" builtinId="8" hidden="1"/>
    <cellStyle name="Hyperlänk" xfId="17" builtinId="8" hidden="1"/>
    <cellStyle name="Hyperlänk" xfId="19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29" builtinId="8" hidden="1"/>
    <cellStyle name="Hyperlänk" xfId="31" builtinId="8" hidden="1"/>
    <cellStyle name="Hyperlänk" xfId="33" builtinId="8" hidden="1"/>
    <cellStyle name="Hyperlänk" xfId="36" builtinId="8" hidden="1"/>
    <cellStyle name="Hyperlänk" xfId="38" builtinId="8" hidden="1"/>
    <cellStyle name="Hyperlänk" xfId="40" builtinId="8" hidden="1"/>
    <cellStyle name="Hyperlänk" xfId="42" builtinId="8" hidden="1"/>
    <cellStyle name="Hyperlänk" xfId="44" builtinId="8" hidden="1"/>
    <cellStyle name="Hyperlänk" xfId="46" builtinId="8" hidden="1"/>
    <cellStyle name="Hyperlänk" xfId="48" builtinId="8" hidden="1"/>
    <cellStyle name="Hyperlänk" xfId="50" builtinId="8" hidden="1"/>
    <cellStyle name="Hyperlänk" xfId="52" builtinId="8" hidden="1"/>
    <cellStyle name="Hyperlänk" xfId="54" builtinId="8" hidden="1"/>
    <cellStyle name="Hyperlänk" xfId="56" builtinId="8" hidden="1"/>
    <cellStyle name="Hyperlänk" xfId="58" builtinId="8" hidden="1"/>
    <cellStyle name="Hyperlänk" xfId="60" builtinId="8" hidden="1"/>
    <cellStyle name="Hyperlänk" xfId="62" builtinId="8" hidden="1"/>
    <cellStyle name="Hyperlänk" xfId="64" builtinId="8" hidden="1"/>
    <cellStyle name="Hyperlänk" xfId="66" builtinId="8" hidden="1"/>
    <cellStyle name="Hyperlänk" xfId="68" builtinId="8" hidden="1"/>
    <cellStyle name="Hyperlänk" xfId="70" builtinId="8" hidden="1"/>
    <cellStyle name="Hyperlänk" xfId="72" builtinId="8" hidden="1"/>
    <cellStyle name="Hyperlänk" xfId="74" builtinId="8" hidden="1"/>
    <cellStyle name="Hyperlänk" xfId="76" builtinId="8" hidden="1"/>
    <cellStyle name="Hyperlänk" xfId="78" builtinId="8" hidden="1"/>
    <cellStyle name="Hyperlänk" xfId="80" builtinId="8" hidden="1"/>
    <cellStyle name="Hyperlänk" xfId="85" builtinId="8" hidden="1"/>
    <cellStyle name="Normal" xfId="0" builtinId="0"/>
    <cellStyle name="Normal 2" xfId="1"/>
    <cellStyle name="Normal 3" xfId="35"/>
    <cellStyle name="Normal 5" xfId="83"/>
    <cellStyle name="Percent 2" xfId="2"/>
    <cellStyle name="Percent 3" xfId="84"/>
    <cellStyle name="Procent" xfId="82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7" Type="http://schemas.openxmlformats.org/officeDocument/2006/relationships/worksheet" Target="worksheets/sheet7.xml"/><Relationship Id="rId20" Type="http://schemas.openxmlformats.org/officeDocument/2006/relationships/calcChain" Target="calcChain.xml"/><Relationship Id="rId16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11" Type="http://schemas.openxmlformats.org/officeDocument/2006/relationships/worksheet" Target="worksheets/sheet1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5" Type="http://schemas.openxmlformats.org/officeDocument/2006/relationships/worksheet" Target="worksheets/sheet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4" Type="http://schemas.openxmlformats.org/officeDocument/2006/relationships/worksheet" Target="worksheets/sheet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0.vml"/><Relationship Id="rId2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1.vml"/><Relationship Id="rId2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2.vml"/><Relationship Id="rId2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3.vml"/><Relationship Id="rId2" Type="http://schemas.openxmlformats.org/officeDocument/2006/relationships/comments" Target="../comments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vmlDrawing" Target="../drawings/vmlDrawing14.vml"/><Relationship Id="rId3" Type="http://schemas.openxmlformats.org/officeDocument/2006/relationships/comments" Target="../comments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5.vml"/><Relationship Id="rId2" Type="http://schemas.openxmlformats.org/officeDocument/2006/relationships/comments" Target="../comments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6.vml"/><Relationship Id="rId2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vmlDrawing" Target="../drawings/vmlDrawing2.vml"/><Relationship Id="rId3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Relationship Id="rId2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4.vml"/><Relationship Id="rId2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5.vml"/><Relationship Id="rId2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Relationship Id="rId2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7.vml"/><Relationship Id="rId2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vmlDrawing" Target="../drawings/vmlDrawing8.vml"/><Relationship Id="rId3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9.vml"/><Relationship Id="rId2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 enableFormatConditionsCalculation="0"/>
  <dimension ref="A1:AV74"/>
  <sheetViews>
    <sheetView tabSelected="1" workbookViewId="0">
      <selection activeCell="B10" sqref="B10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5" style="2" customWidth="1"/>
    <col min="4" max="6" width="8.6640625" style="2"/>
    <col min="7" max="7" width="10.5" style="2" customWidth="1"/>
    <col min="8" max="11" width="8.6640625" style="2"/>
    <col min="12" max="12" width="5.6640625" style="2" customWidth="1"/>
    <col min="13" max="13" width="7.33203125" style="2" customWidth="1"/>
    <col min="14" max="14" width="9.83203125" style="2" bestFit="1" customWidth="1"/>
    <col min="15" max="15" width="10.6640625" style="2" customWidth="1"/>
    <col min="16" max="16" width="10.1640625" style="2" customWidth="1"/>
    <col min="17" max="17" width="9.5" style="2" customWidth="1"/>
    <col min="18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127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/>
      <c r="K3" s="6"/>
      <c r="L3" s="6"/>
      <c r="M3" s="6"/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10">
        <f>SUM(Nordmaling:Skellefteå!B4)</f>
        <v>770.44999999999982</v>
      </c>
      <c r="C4" s="9"/>
      <c r="D4" s="11"/>
      <c r="P4" s="3"/>
      <c r="Q4" s="3"/>
      <c r="R4" s="3"/>
      <c r="S4" s="3"/>
      <c r="T4" s="3"/>
      <c r="U4" s="3"/>
    </row>
    <row r="5" spans="1:21" ht="16" x14ac:dyDescent="0.2">
      <c r="A5" s="5"/>
      <c r="B5" s="10"/>
      <c r="C5" s="41"/>
      <c r="D5" s="41"/>
      <c r="E5" s="41"/>
      <c r="F5" s="41"/>
      <c r="G5" s="41"/>
      <c r="P5" s="3"/>
      <c r="Q5" s="51"/>
      <c r="R5" s="3"/>
      <c r="S5" s="3"/>
      <c r="T5" s="3"/>
      <c r="U5" s="3"/>
    </row>
    <row r="6" spans="1:21" ht="16" x14ac:dyDescent="0.2">
      <c r="A6" s="8" t="s">
        <v>13</v>
      </c>
      <c r="B6" s="10">
        <f>SUM(Nordmaling:Skellefteå!B6)</f>
        <v>395776</v>
      </c>
      <c r="C6" s="10">
        <v>0</v>
      </c>
      <c r="D6" s="10">
        <v>0</v>
      </c>
      <c r="E6" s="10">
        <v>0</v>
      </c>
      <c r="F6" s="10">
        <v>0</v>
      </c>
      <c r="G6" s="10">
        <v>0</v>
      </c>
      <c r="H6" s="10">
        <v>0</v>
      </c>
      <c r="I6" s="10">
        <v>0</v>
      </c>
      <c r="J6" s="10"/>
      <c r="K6" s="10"/>
      <c r="L6" s="10"/>
      <c r="M6" s="10"/>
      <c r="N6" s="10"/>
      <c r="O6" s="10">
        <v>0</v>
      </c>
      <c r="P6" s="3"/>
      <c r="Q6" s="52"/>
      <c r="R6" s="10"/>
      <c r="S6" s="3"/>
      <c r="T6" s="3"/>
      <c r="U6" s="3"/>
    </row>
    <row r="7" spans="1:21" ht="16" x14ac:dyDescent="0.2">
      <c r="A7" s="8" t="s">
        <v>14</v>
      </c>
      <c r="B7" s="10">
        <f>SUM(Nordmaling:Skellefteå!B7)</f>
        <v>0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/>
      <c r="K7" s="10"/>
      <c r="L7" s="10"/>
      <c r="M7" s="10"/>
      <c r="N7" s="10"/>
      <c r="O7" s="10">
        <v>0</v>
      </c>
      <c r="P7" s="3"/>
      <c r="Q7" s="52"/>
      <c r="R7" s="10"/>
      <c r="S7" s="3"/>
      <c r="T7" s="3"/>
      <c r="U7" s="3"/>
    </row>
    <row r="8" spans="1:21" ht="16" x14ac:dyDescent="0.2">
      <c r="A8" s="8" t="s">
        <v>15</v>
      </c>
      <c r="B8" s="10">
        <f>SUM(Nordmaling:Skellefteå!B8)</f>
        <v>14718531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/>
      <c r="K8" s="10"/>
      <c r="L8" s="10"/>
      <c r="M8" s="10"/>
      <c r="N8" s="10"/>
      <c r="O8" s="10">
        <v>0</v>
      </c>
      <c r="P8" s="3"/>
      <c r="Q8" s="3"/>
      <c r="R8" s="10"/>
      <c r="S8" s="3"/>
      <c r="T8" s="3"/>
      <c r="U8" s="3"/>
    </row>
    <row r="9" spans="1:21" ht="16" x14ac:dyDescent="0.2">
      <c r="A9" s="8" t="s">
        <v>16</v>
      </c>
      <c r="B9" s="10">
        <f>SUM(Nordmaling:Skellefteå!B9)</f>
        <v>1784494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0</v>
      </c>
      <c r="J9" s="10"/>
      <c r="K9" s="10"/>
      <c r="L9" s="10"/>
      <c r="M9" s="10"/>
      <c r="N9" s="10"/>
      <c r="O9" s="10">
        <v>0</v>
      </c>
      <c r="P9" s="3"/>
      <c r="Q9" s="3"/>
      <c r="R9" s="10"/>
      <c r="S9" s="3"/>
      <c r="T9" s="3"/>
      <c r="U9" s="3"/>
    </row>
    <row r="10" spans="1:21" ht="16" x14ac:dyDescent="0.2">
      <c r="A10" s="8" t="s">
        <v>17</v>
      </c>
      <c r="B10" s="10">
        <f>SUM(B4:B9)</f>
        <v>16899571.449999999</v>
      </c>
      <c r="C10" s="10">
        <v>0</v>
      </c>
      <c r="D10" s="10">
        <v>0</v>
      </c>
      <c r="E10" s="10">
        <v>0</v>
      </c>
      <c r="F10" s="10">
        <v>0</v>
      </c>
      <c r="G10" s="10">
        <v>0</v>
      </c>
      <c r="H10" s="10">
        <v>0</v>
      </c>
      <c r="I10" s="10">
        <v>0</v>
      </c>
      <c r="J10" s="10"/>
      <c r="K10" s="10"/>
      <c r="L10" s="10"/>
      <c r="M10" s="10"/>
      <c r="N10" s="10"/>
      <c r="O10" s="10">
        <v>0</v>
      </c>
      <c r="P10" s="3"/>
      <c r="Q10" s="3"/>
      <c r="R10" s="10"/>
      <c r="S10" s="3"/>
      <c r="T10" s="3"/>
      <c r="U10" s="3"/>
    </row>
    <row r="11" spans="1:21" ht="16" x14ac:dyDescent="0.2">
      <c r="A11" s="49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3"/>
      <c r="Q11" s="3"/>
      <c r="R11" s="10"/>
      <c r="S11" s="3"/>
      <c r="T11" s="3"/>
      <c r="U11" s="3"/>
    </row>
    <row r="12" spans="1:21" ht="16" x14ac:dyDescent="0.2"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3"/>
      <c r="Q12" s="3"/>
      <c r="R12" s="10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10"/>
      <c r="S13" s="3"/>
      <c r="T13" s="3"/>
      <c r="U13" s="3"/>
    </row>
    <row r="14" spans="1:21" ht="16" x14ac:dyDescent="0.2">
      <c r="A14" s="4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10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10"/>
      <c r="S15" s="3"/>
      <c r="T15" s="3"/>
      <c r="U15" s="3"/>
    </row>
    <row r="16" spans="1:21" ht="16" x14ac:dyDescent="0.2">
      <c r="B16" s="11"/>
      <c r="C16" s="41"/>
      <c r="D16" s="41"/>
      <c r="E16" s="41"/>
      <c r="F16" s="41"/>
      <c r="G16" s="41"/>
      <c r="H16" s="11"/>
      <c r="I16" s="11"/>
      <c r="J16" s="11"/>
      <c r="K16" s="11"/>
      <c r="L16" s="11"/>
      <c r="M16" s="11"/>
      <c r="N16" s="11"/>
      <c r="O16" s="11"/>
      <c r="P16" s="3"/>
      <c r="Q16" s="51"/>
      <c r="R16" s="10"/>
      <c r="S16" s="3"/>
      <c r="T16" s="3"/>
      <c r="U16" s="3"/>
    </row>
    <row r="17" spans="1:26" ht="16" x14ac:dyDescent="0.2">
      <c r="A17" s="8" t="s">
        <v>21</v>
      </c>
      <c r="B17" s="10">
        <f>SUM(Nordmaling:Skellefteå!B17)</f>
        <v>1334886.0674553923</v>
      </c>
      <c r="C17" s="10">
        <f>SUM(Nordmaling:Skellefteå!C17)</f>
        <v>29445.665348873463</v>
      </c>
      <c r="D17" s="10">
        <f>SUM(Nordmaling:Skellefteå!D17)</f>
        <v>0</v>
      </c>
      <c r="E17" s="10">
        <f>SUM(Nordmaling:Skellefteå!E17)</f>
        <v>0</v>
      </c>
      <c r="F17" s="10">
        <f>SUM(Nordmaling:Skellefteå!F17)</f>
        <v>0</v>
      </c>
      <c r="G17" s="10">
        <f>SUM(Nordmaling:Skellefteå!G17)</f>
        <v>1322697.1720724276</v>
      </c>
      <c r="H17" s="10">
        <f>SUM(Nordmaling:Skellefteå!H17)</f>
        <v>0</v>
      </c>
      <c r="I17" s="10">
        <f>SUM(Nordmaling:Skellefteå!I17)</f>
        <v>0</v>
      </c>
      <c r="J17" s="10">
        <f>SUM(Nordmaling:Skellefteå!J17)</f>
        <v>84030</v>
      </c>
      <c r="K17" s="10">
        <f>SUM(Nordmaling:Skellefteå!K17)</f>
        <v>398155.62718296074</v>
      </c>
      <c r="L17" s="10">
        <f>SUM(Nordmaling:Skellefteå!L17)</f>
        <v>0</v>
      </c>
      <c r="M17" s="10">
        <f>SUM(Nordmaling:Skellefteå!M17)</f>
        <v>0</v>
      </c>
      <c r="N17" s="10">
        <f>SUM(Nordmaling:Skellefteå!N17)</f>
        <v>22446.474999999999</v>
      </c>
      <c r="O17" s="10">
        <f>SUM(C17:N17)</f>
        <v>1856774.9396042619</v>
      </c>
      <c r="P17" s="3"/>
      <c r="Q17" s="52"/>
      <c r="R17" s="10"/>
      <c r="S17" s="3"/>
      <c r="T17" s="3"/>
      <c r="U17" s="3"/>
    </row>
    <row r="18" spans="1:26" ht="16" x14ac:dyDescent="0.2">
      <c r="A18" s="8" t="s">
        <v>22</v>
      </c>
      <c r="B18" s="10">
        <f>SUM(Nordmaling:Skellefteå!B18)</f>
        <v>432881.93254460773</v>
      </c>
      <c r="C18" s="10">
        <f>SUM(Nordmaling:Skellefteå!C18)</f>
        <v>9710.3346511265372</v>
      </c>
      <c r="D18" s="10">
        <f>SUM(Nordmaling:Skellefteå!D18)</f>
        <v>0</v>
      </c>
      <c r="E18" s="10">
        <f>SUM(Nordmaling:Skellefteå!E18)</f>
        <v>0</v>
      </c>
      <c r="F18" s="10">
        <f>SUM(Nordmaling:Skellefteå!F18)</f>
        <v>0</v>
      </c>
      <c r="G18" s="10">
        <f>SUM(Nordmaling:Skellefteå!G18)</f>
        <v>424764.82792757242</v>
      </c>
      <c r="H18" s="10">
        <f>SUM(Nordmaling:Skellefteå!H18)</f>
        <v>0</v>
      </c>
      <c r="I18" s="10">
        <f>SUM(Nordmaling:Skellefteå!I18)</f>
        <v>0</v>
      </c>
      <c r="J18" s="10">
        <f>SUM(Nordmaling:Skellefteå!J18)</f>
        <v>0</v>
      </c>
      <c r="K18" s="10">
        <f>SUM(Nordmaling:Skellefteå!K18)</f>
        <v>49334.372817039279</v>
      </c>
      <c r="L18" s="10">
        <f>SUM(Nordmaling:Skellefteå!L18)</f>
        <v>0</v>
      </c>
      <c r="M18" s="10">
        <f>SUM(Nordmaling:Skellefteå!M18)</f>
        <v>0</v>
      </c>
      <c r="N18" s="10">
        <f>SUM(Nordmaling:Skellefteå!N18)</f>
        <v>0</v>
      </c>
      <c r="O18" s="10">
        <f>SUM(C18:N18)</f>
        <v>483809.5353957382</v>
      </c>
      <c r="P18" s="3"/>
      <c r="Q18" s="52"/>
      <c r="R18" s="10"/>
      <c r="S18" s="3"/>
      <c r="T18" s="3"/>
      <c r="U18" s="3"/>
    </row>
    <row r="19" spans="1:26" ht="16" x14ac:dyDescent="0.2">
      <c r="A19" s="8" t="s">
        <v>23</v>
      </c>
      <c r="B19" s="10">
        <f>SUM(Nordmaling:Skellefteå!B19)</f>
        <v>0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>
        <f>SUM(Nordmaling:Skellefteå!N19)</f>
        <v>0</v>
      </c>
      <c r="O19" s="10">
        <f>SUM(Nordmaling:Skellefteå!O19)</f>
        <v>0</v>
      </c>
      <c r="P19" s="3"/>
      <c r="Q19" s="3"/>
      <c r="R19" s="3"/>
      <c r="S19" s="3" t="s">
        <v>27</v>
      </c>
      <c r="T19" s="13">
        <f>O42/1000</f>
        <v>12080.514307153428</v>
      </c>
      <c r="U19" s="3"/>
    </row>
    <row r="20" spans="1:26" ht="16" x14ac:dyDescent="0.2">
      <c r="A20" s="8" t="s">
        <v>24</v>
      </c>
      <c r="B20" s="10">
        <f>SUM(Nordmaling:Skellefteå!B20)</f>
        <v>0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10">
        <f>SUM(Nordmaling:Skellefteå!N20)</f>
        <v>0</v>
      </c>
      <c r="O20" s="10">
        <f>SUM(Nordmaling:Skellefteå!O20)</f>
        <v>0</v>
      </c>
      <c r="P20" s="3"/>
      <c r="Q20" s="3"/>
      <c r="R20" s="3"/>
      <c r="S20" s="3"/>
      <c r="T20" s="3"/>
      <c r="U20" s="3"/>
    </row>
    <row r="21" spans="1:26" ht="16" x14ac:dyDescent="0.2">
      <c r="A21" s="8" t="s">
        <v>25</v>
      </c>
      <c r="B21" s="10">
        <f>SUM(Nordmaling:Skellefteå!B21)</f>
        <v>57321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10">
        <f>SUM(Nordmaling:Skellefteå!O21)</f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6" ht="16" x14ac:dyDescent="0.2">
      <c r="A22" s="8" t="s">
        <v>26</v>
      </c>
      <c r="B22" s="10">
        <f>SUM(Nordmaling:Skellefteå!B22)</f>
        <v>0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10">
        <f>SUM(Nordmaling:Skellefteå!O22)</f>
        <v>0</v>
      </c>
      <c r="P22" s="3"/>
      <c r="Q22" s="3"/>
      <c r="R22" s="3"/>
      <c r="S22" s="3" t="s">
        <v>11</v>
      </c>
      <c r="T22" s="14">
        <f>N42/1000</f>
        <v>3920.8142090712699</v>
      </c>
      <c r="U22" s="16">
        <f>N43</f>
        <v>0.32455689463068432</v>
      </c>
    </row>
    <row r="23" spans="1:26" ht="16" x14ac:dyDescent="0.2">
      <c r="A23" s="8" t="s">
        <v>17</v>
      </c>
      <c r="B23" s="10">
        <f>SUM(B17:B22)</f>
        <v>1825089</v>
      </c>
      <c r="C23" s="10">
        <f t="shared" ref="C23:O23" si="0">SUM(C17:C22)</f>
        <v>39156</v>
      </c>
      <c r="D23" s="10">
        <f t="shared" si="0"/>
        <v>0</v>
      </c>
      <c r="E23" s="10">
        <f t="shared" si="0"/>
        <v>0</v>
      </c>
      <c r="F23" s="10">
        <f t="shared" si="0"/>
        <v>0</v>
      </c>
      <c r="G23" s="10">
        <f t="shared" si="0"/>
        <v>1747462</v>
      </c>
      <c r="H23" s="10">
        <f t="shared" si="0"/>
        <v>0</v>
      </c>
      <c r="I23" s="10">
        <f t="shared" si="0"/>
        <v>0</v>
      </c>
      <c r="J23" s="10">
        <f t="shared" si="0"/>
        <v>84030</v>
      </c>
      <c r="K23" s="10">
        <f t="shared" si="0"/>
        <v>447490</v>
      </c>
      <c r="L23" s="10">
        <f t="shared" si="0"/>
        <v>0</v>
      </c>
      <c r="M23" s="10">
        <f t="shared" si="0"/>
        <v>0</v>
      </c>
      <c r="N23" s="10">
        <f t="shared" si="0"/>
        <v>22446.474999999999</v>
      </c>
      <c r="O23" s="10">
        <f t="shared" si="0"/>
        <v>2340584.4750000001</v>
      </c>
      <c r="P23" s="3"/>
      <c r="Q23" s="3"/>
      <c r="R23" s="3"/>
      <c r="S23" s="3" t="s">
        <v>131</v>
      </c>
      <c r="T23" s="14">
        <f>G42/1000</f>
        <v>2954.5266369710466</v>
      </c>
      <c r="U23" s="16">
        <f>G43</f>
        <v>0.24456960704243658</v>
      </c>
    </row>
    <row r="24" spans="1:26" ht="16" x14ac:dyDescent="0.2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3"/>
      <c r="Q24" s="3"/>
      <c r="R24" s="3"/>
      <c r="S24" s="3" t="s">
        <v>8</v>
      </c>
      <c r="T24" s="14">
        <f>J42/1000</f>
        <v>84.03</v>
      </c>
      <c r="U24" s="15">
        <f>J43</f>
        <v>6.9558296827016688E-3</v>
      </c>
    </row>
    <row r="25" spans="1:26" ht="16" x14ac:dyDescent="0.2"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3"/>
      <c r="Q25" s="3"/>
      <c r="R25" s="3"/>
      <c r="S25" s="3" t="s">
        <v>32</v>
      </c>
      <c r="T25" s="14">
        <f>F42/1000</f>
        <v>235.13534999999999</v>
      </c>
      <c r="U25" s="15">
        <f>F43</f>
        <v>1.9464018171872495E-2</v>
      </c>
    </row>
    <row r="26" spans="1:26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3" t="s">
        <v>5</v>
      </c>
      <c r="T26" s="13">
        <f>E42/1000</f>
        <v>33.389000000000003</v>
      </c>
      <c r="U26" s="15">
        <f>E43</f>
        <v>2.7638723940940856E-3</v>
      </c>
    </row>
    <row r="27" spans="1:26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3" t="s">
        <v>38</v>
      </c>
      <c r="T27" s="14">
        <f>C42/1000</f>
        <v>3133.7420000000002</v>
      </c>
      <c r="U27" s="16">
        <f>C43</f>
        <v>0.25940468429761865</v>
      </c>
    </row>
    <row r="28" spans="1:26" ht="16" x14ac:dyDescent="0.2">
      <c r="A28" s="4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2" t="s">
        <v>4</v>
      </c>
      <c r="T28" s="2">
        <f>D42/1000</f>
        <v>392.00200000000001</v>
      </c>
      <c r="U28" s="54">
        <f>D43</f>
        <v>3.2449115164565272E-2</v>
      </c>
    </row>
    <row r="29" spans="1:26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92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2" t="s">
        <v>9</v>
      </c>
      <c r="T29" s="2">
        <f>K42/1000</f>
        <v>447.49</v>
      </c>
      <c r="U29" s="54">
        <f>K43</f>
        <v>3.7042297092849813E-2</v>
      </c>
      <c r="X29" s="10"/>
      <c r="Y29" s="10"/>
    </row>
    <row r="30" spans="1:26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3" t="s">
        <v>6</v>
      </c>
      <c r="T30" s="14">
        <f>I42/1000</f>
        <v>820.71900000000005</v>
      </c>
      <c r="U30" s="15">
        <f>I43</f>
        <v>6.7937422127302527E-2</v>
      </c>
      <c r="W30" s="51"/>
      <c r="X30" s="10"/>
      <c r="Y30" s="10"/>
    </row>
    <row r="31" spans="1:26" ht="16" x14ac:dyDescent="0.2">
      <c r="A31" s="5" t="s">
        <v>36</v>
      </c>
      <c r="B31" s="10">
        <f>SUM(Nordmaling:Skellefteå!B31)</f>
        <v>0</v>
      </c>
      <c r="C31" s="10">
        <f>SUM(Nordmaling:Skellefteå!C31)</f>
        <v>119955</v>
      </c>
      <c r="D31" s="10">
        <f>SUM(Nordmaling:Skellefteå!D31)</f>
        <v>0</v>
      </c>
      <c r="E31" s="10">
        <f>SUM(Nordmaling:Skellefteå!E31)</f>
        <v>0</v>
      </c>
      <c r="F31" s="10">
        <f>SUM(Nordmaling:Skellefteå!F31)</f>
        <v>12387</v>
      </c>
      <c r="G31" s="10">
        <f>SUM(Nordmaling:Skellefteå!G31)</f>
        <v>0</v>
      </c>
      <c r="H31" s="10">
        <f>SUM(Nordmaling:Skellefteå!H31)</f>
        <v>0</v>
      </c>
      <c r="I31" s="10">
        <f>SUM(Nordmaling:Skellefteå!I31)</f>
        <v>0</v>
      </c>
      <c r="J31" s="10">
        <f>SUM(Nordmaling:Skellefteå!J31)</f>
        <v>0</v>
      </c>
      <c r="K31" s="10">
        <f>SUM(Nordmaling:Skellefteå!K31)</f>
        <v>0</v>
      </c>
      <c r="L31" s="10">
        <f>SUM(Nordmaling:Skellefteå!L31)</f>
        <v>0</v>
      </c>
      <c r="M31" s="10">
        <f>SUM(Nordmaling:Skellefteå!M31)</f>
        <v>0</v>
      </c>
      <c r="N31" s="10">
        <f>SUM(Nordmaling:Skellefteå!N31)</f>
        <v>84770</v>
      </c>
      <c r="O31" s="10">
        <f>SUM(B31:N31)</f>
        <v>217112</v>
      </c>
      <c r="P31" s="17">
        <f>O31/O$39</f>
        <v>1.9076745158202291E-2</v>
      </c>
      <c r="Q31" s="18" t="s">
        <v>37</v>
      </c>
      <c r="R31" s="3"/>
      <c r="S31" s="3" t="s">
        <v>7</v>
      </c>
      <c r="T31" s="14">
        <f>H42/1000</f>
        <v>10.786111111111111</v>
      </c>
      <c r="U31" s="15">
        <f>H43</f>
        <v>8.9285197938337437E-4</v>
      </c>
      <c r="W31" s="50"/>
      <c r="X31" s="10"/>
      <c r="Y31" s="10"/>
      <c r="Z31" s="79"/>
    </row>
    <row r="32" spans="1:26" ht="16" x14ac:dyDescent="0.2">
      <c r="A32" s="5" t="s">
        <v>39</v>
      </c>
      <c r="B32" s="10">
        <f>SUM(Nordmaling:Skellefteå!B32)</f>
        <v>140091.6651365064</v>
      </c>
      <c r="C32" s="10">
        <f>SUM(Nordmaling:Skellefteå!C32)</f>
        <v>304531</v>
      </c>
      <c r="D32" s="10">
        <f>SUM(Nordmaling:Skellefteå!D32)</f>
        <v>392002</v>
      </c>
      <c r="E32" s="10">
        <f>SUM(Nordmaling:Skellefteå!E32)</f>
        <v>33389</v>
      </c>
      <c r="F32" s="10">
        <f>SUM(Nordmaling:Skellefteå!F32)</f>
        <v>800</v>
      </c>
      <c r="G32" s="10">
        <f>SUM(Nordmaling:Skellefteå!G32)</f>
        <v>708286.6369710468</v>
      </c>
      <c r="H32" s="10">
        <f>SUM(Nordmaling:Skellefteå!H32)</f>
        <v>0</v>
      </c>
      <c r="I32" s="10">
        <f>SUM(Nordmaling:Skellefteå!I32)</f>
        <v>820719</v>
      </c>
      <c r="J32" s="10">
        <f>SUM(Nordmaling:Skellefteå!J32)</f>
        <v>0</v>
      </c>
      <c r="K32" s="10">
        <f>SUM(Nordmaling:Skellefteå!K32)</f>
        <v>0</v>
      </c>
      <c r="L32" s="10">
        <f>SUM(Nordmaling:Skellefteå!L32)</f>
        <v>7347</v>
      </c>
      <c r="M32" s="10">
        <f>SUM(Nordmaling:Skellefteå!M32)</f>
        <v>40533</v>
      </c>
      <c r="N32" s="10">
        <f>SUM(Nordmaling:Skellefteå!N32)</f>
        <v>1597521.3630289533</v>
      </c>
      <c r="O32" s="10">
        <f t="shared" ref="O32:O38" si="1">SUM(B32:N32)</f>
        <v>4045220.6651365063</v>
      </c>
      <c r="P32" s="17">
        <f>O32/O$39</f>
        <v>0.35543702668439653</v>
      </c>
      <c r="Q32" s="18" t="s">
        <v>40</v>
      </c>
      <c r="R32" s="3"/>
      <c r="S32" s="2" t="s">
        <v>92</v>
      </c>
      <c r="T32" s="14">
        <f>L42/1000</f>
        <v>7.3470000000000004</v>
      </c>
      <c r="U32" s="15">
        <f>L43</f>
        <v>6.0816947136509776E-4</v>
      </c>
      <c r="W32" s="50"/>
      <c r="X32" s="10"/>
      <c r="Y32" s="10"/>
      <c r="Z32" s="64"/>
    </row>
    <row r="33" spans="1:48" ht="16" x14ac:dyDescent="0.2">
      <c r="A33" s="5" t="s">
        <v>41</v>
      </c>
      <c r="B33" s="10">
        <f>SUM(Nordmaling:Skellefteå!B33)</f>
        <v>319843.30611258757</v>
      </c>
      <c r="C33" s="10">
        <f>SUM(Nordmaling:Skellefteå!C33)</f>
        <v>8556</v>
      </c>
      <c r="D33" s="10">
        <f>SUM(Nordmaling:Skellefteå!D33)</f>
        <v>0</v>
      </c>
      <c r="E33" s="10">
        <f>SUM(Nordmaling:Skellefteå!E33)</f>
        <v>0</v>
      </c>
      <c r="F33" s="10">
        <f>SUM(Nordmaling:Skellefteå!F33)</f>
        <v>0</v>
      </c>
      <c r="G33" s="10">
        <f>SUM(Nordmaling:Skellefteå!G33)</f>
        <v>0</v>
      </c>
      <c r="H33" s="10">
        <f>SUM(Nordmaling:Skellefteå!H33)</f>
        <v>0</v>
      </c>
      <c r="I33" s="10">
        <f>SUM(Nordmaling:Skellefteå!I33)</f>
        <v>0</v>
      </c>
      <c r="J33" s="10">
        <f>SUM(Nordmaling:Skellefteå!J33)</f>
        <v>0</v>
      </c>
      <c r="K33" s="10">
        <f>SUM(Nordmaling:Skellefteå!K33)</f>
        <v>0</v>
      </c>
      <c r="L33" s="10">
        <f>SUM(Nordmaling:Skellefteå!L33)</f>
        <v>0</v>
      </c>
      <c r="M33" s="10">
        <f>SUM(Nordmaling:Skellefteå!M33)</f>
        <v>0</v>
      </c>
      <c r="N33" s="10">
        <f>SUM(Nordmaling:Skellefteå!N33)</f>
        <v>282410.01194811059</v>
      </c>
      <c r="O33" s="10">
        <f t="shared" si="1"/>
        <v>610809.31806069822</v>
      </c>
      <c r="P33" s="17">
        <f>O33/O$39</f>
        <v>5.3669321368230535E-2</v>
      </c>
      <c r="Q33" s="18" t="s">
        <v>42</v>
      </c>
      <c r="R33" s="3"/>
      <c r="S33" s="2" t="s">
        <v>10</v>
      </c>
      <c r="T33" s="14">
        <f>M42/1000</f>
        <v>40.533000000000001</v>
      </c>
      <c r="U33" s="15">
        <f>M43</f>
        <v>3.3552379451261068E-3</v>
      </c>
      <c r="W33" s="50"/>
      <c r="X33" s="10"/>
      <c r="Y33" s="10"/>
      <c r="Z33" s="79"/>
    </row>
    <row r="34" spans="1:48" ht="16" x14ac:dyDescent="0.2">
      <c r="A34" s="5" t="s">
        <v>43</v>
      </c>
      <c r="B34" s="10">
        <f>SUM(Nordmaling:Skellefteå!B34)</f>
        <v>0</v>
      </c>
      <c r="C34" s="10">
        <f>SUM(Nordmaling:Skellefteå!C34)</f>
        <v>2575567</v>
      </c>
      <c r="D34" s="10">
        <f>SUM(Nordmaling:Skellefteå!D34)</f>
        <v>0</v>
      </c>
      <c r="E34" s="10">
        <f>SUM(Nordmaling:Skellefteå!E34)</f>
        <v>0</v>
      </c>
      <c r="F34" s="10">
        <f>SUM(Nordmaling:Skellefteå!F34)</f>
        <v>221948.34999999998</v>
      </c>
      <c r="G34" s="10">
        <f>SUM(Nordmaling:Skellefteå!G34)</f>
        <v>0</v>
      </c>
      <c r="H34" s="77">
        <f>1100*35.3/3.6</f>
        <v>10786.111111111111</v>
      </c>
      <c r="I34" s="10">
        <f>SUM(Nordmaling:Skellefteå!I34)</f>
        <v>0</v>
      </c>
      <c r="J34" s="10">
        <f>SUM(Nordmaling:Skellefteå!J34)</f>
        <v>0</v>
      </c>
      <c r="K34" s="10">
        <f>SUM(Nordmaling:Skellefteå!K34)</f>
        <v>0</v>
      </c>
      <c r="L34" s="10">
        <f>SUM(Nordmaling:Skellefteå!L34)</f>
        <v>0</v>
      </c>
      <c r="M34" s="10">
        <f>SUM(Nordmaling:Skellefteå!M34)</f>
        <v>0</v>
      </c>
      <c r="N34" s="10">
        <f>SUM(Nordmaling:Skellefteå!N34)</f>
        <v>65493.65</v>
      </c>
      <c r="O34" s="10">
        <f t="shared" si="1"/>
        <v>2873795.111111111</v>
      </c>
      <c r="P34" s="17">
        <f>O34/O$39</f>
        <v>0.25250864517647253</v>
      </c>
      <c r="Q34" s="18" t="s">
        <v>44</v>
      </c>
      <c r="R34" s="3"/>
      <c r="S34" s="3"/>
      <c r="T34" s="14">
        <f>SUM(T22:T33)</f>
        <v>12080.514307153426</v>
      </c>
      <c r="U34" s="15">
        <f>SUM(U22:U33)</f>
        <v>0.99999999999999989</v>
      </c>
      <c r="W34" s="50"/>
      <c r="X34" s="10"/>
      <c r="Y34" s="10"/>
      <c r="Z34" s="79"/>
    </row>
    <row r="35" spans="1:48" ht="16" x14ac:dyDescent="0.2">
      <c r="A35" s="5" t="s">
        <v>45</v>
      </c>
      <c r="B35" s="10">
        <f>SUM(Nordmaling:Skellefteå!B35)</f>
        <v>251562.028750906</v>
      </c>
      <c r="C35" s="10">
        <f>SUM(Nordmaling:Skellefteå!C35)</f>
        <v>78128</v>
      </c>
      <c r="D35" s="10">
        <f>SUM(Nordmaling:Skellefteå!D35)</f>
        <v>0</v>
      </c>
      <c r="E35" s="10">
        <f>SUM(Nordmaling:Skellefteå!E35)</f>
        <v>0</v>
      </c>
      <c r="F35" s="10">
        <f>SUM(Nordmaling:Skellefteå!F35)</f>
        <v>0</v>
      </c>
      <c r="G35" s="10">
        <f>SUM(Nordmaling:Skellefteå!G35)</f>
        <v>0</v>
      </c>
      <c r="H35" s="10">
        <f>SUM(Nordmaling:Skellefteå!H35)</f>
        <v>0</v>
      </c>
      <c r="I35" s="10">
        <f>SUM(Nordmaling:Skellefteå!I35)</f>
        <v>0</v>
      </c>
      <c r="J35" s="10">
        <f>SUM(Nordmaling:Skellefteå!J35)</f>
        <v>0</v>
      </c>
      <c r="K35" s="10">
        <f>SUM(Nordmaling:Skellefteå!K35)</f>
        <v>0</v>
      </c>
      <c r="L35" s="10">
        <f>SUM(Nordmaling:Skellefteå!L35)</f>
        <v>0</v>
      </c>
      <c r="M35" s="10">
        <f>SUM(Nordmaling:Skellefteå!M35)</f>
        <v>0</v>
      </c>
      <c r="N35" s="10">
        <f>SUM(Nordmaling:Skellefteå!N35)</f>
        <v>775035.98805188946</v>
      </c>
      <c r="O35" s="10">
        <f t="shared" si="1"/>
        <v>1104726.0168027955</v>
      </c>
      <c r="P35" s="17">
        <f>O35/O$39</f>
        <v>9.7067765449090015E-2</v>
      </c>
      <c r="Q35" s="18" t="s">
        <v>46</v>
      </c>
      <c r="R35" s="18"/>
      <c r="W35" s="50"/>
      <c r="X35" s="10"/>
      <c r="Y35" s="10"/>
      <c r="Z35" s="79"/>
    </row>
    <row r="36" spans="1:48" ht="16" x14ac:dyDescent="0.2">
      <c r="A36" s="5" t="s">
        <v>47</v>
      </c>
      <c r="B36" s="10">
        <f>SUM(Nordmaling:Skellefteå!B36)</f>
        <v>252730</v>
      </c>
      <c r="C36" s="10">
        <f>SUM(Nordmaling:Skellefteå!C36)</f>
        <v>7849</v>
      </c>
      <c r="D36" s="10">
        <f>SUM(Nordmaling:Skellefteå!D36)</f>
        <v>0</v>
      </c>
      <c r="E36" s="10">
        <f>SUM(Nordmaling:Skellefteå!E36)</f>
        <v>0</v>
      </c>
      <c r="F36" s="10">
        <f>SUM(Nordmaling:Skellefteå!F36)</f>
        <v>0</v>
      </c>
      <c r="G36" s="10">
        <f>SUM(Nordmaling:Skellefteå!G36)</f>
        <v>498778</v>
      </c>
      <c r="H36" s="10">
        <f>SUM(Nordmaling:Skellefteå!H36)</f>
        <v>0</v>
      </c>
      <c r="I36" s="10">
        <f>SUM(Nordmaling:Skellefteå!I36)</f>
        <v>0</v>
      </c>
      <c r="J36" s="10">
        <f>SUM(Nordmaling:Skellefteå!J36)</f>
        <v>0</v>
      </c>
      <c r="K36" s="10">
        <f>SUM(Nordmaling:Skellefteå!K36)</f>
        <v>0</v>
      </c>
      <c r="L36" s="10">
        <f>SUM(Nordmaling:Skellefteå!L36)</f>
        <v>0</v>
      </c>
      <c r="M36" s="10">
        <f>SUM(Nordmaling:Skellefteå!M36)</f>
        <v>0</v>
      </c>
      <c r="N36" s="10">
        <f>SUM(Nordmaling:Skellefteå!N36)</f>
        <v>854100</v>
      </c>
      <c r="O36" s="10">
        <f t="shared" si="1"/>
        <v>1613457</v>
      </c>
      <c r="P36" s="18"/>
      <c r="Q36" s="18"/>
      <c r="R36" s="3"/>
      <c r="S36" s="7"/>
      <c r="T36" s="7"/>
      <c r="U36" s="7"/>
      <c r="W36" s="50"/>
      <c r="X36" s="10"/>
      <c r="Y36" s="10"/>
      <c r="Z36" s="64"/>
    </row>
    <row r="37" spans="1:48" ht="16" x14ac:dyDescent="0.2">
      <c r="A37" s="5" t="s">
        <v>48</v>
      </c>
      <c r="B37" s="10">
        <f>SUM(Nordmaling:Skellefteå!B37)</f>
        <v>599129</v>
      </c>
      <c r="C37" s="10">
        <f>SUM(Nordmaling:Skellefteå!C37)</f>
        <v>0</v>
      </c>
      <c r="D37" s="10">
        <f>SUM(Nordmaling:Skellefteå!D37)</f>
        <v>0</v>
      </c>
      <c r="E37" s="10">
        <f>SUM(Nordmaling:Skellefteå!E37)</f>
        <v>0</v>
      </c>
      <c r="F37" s="10">
        <f>SUM(Nordmaling:Skellefteå!F37)</f>
        <v>0</v>
      </c>
      <c r="G37" s="10">
        <f>SUM(Nordmaling:Skellefteå!G37)</f>
        <v>0</v>
      </c>
      <c r="H37" s="10">
        <f>SUM(Nordmaling:Skellefteå!H37)</f>
        <v>0</v>
      </c>
      <c r="I37" s="10">
        <f>SUM(Nordmaling:Skellefteå!I37)</f>
        <v>0</v>
      </c>
      <c r="J37" s="10">
        <f>SUM(Nordmaling:Skellefteå!J37)</f>
        <v>0</v>
      </c>
      <c r="K37" s="10">
        <f>SUM(Nordmaling:Skellefteå!K37)</f>
        <v>0</v>
      </c>
      <c r="L37" s="10">
        <f>SUM(Nordmaling:Skellefteå!L37)</f>
        <v>0</v>
      </c>
      <c r="M37" s="10">
        <f>SUM(Nordmaling:Skellefteå!M37)</f>
        <v>0</v>
      </c>
      <c r="N37" s="10">
        <f>SUM(Nordmaling:Skellefteå!N37)</f>
        <v>170795</v>
      </c>
      <c r="O37" s="10">
        <f t="shared" si="1"/>
        <v>769924</v>
      </c>
      <c r="P37" s="18"/>
      <c r="Q37" s="18"/>
      <c r="R37" s="3"/>
      <c r="S37" s="7"/>
      <c r="T37" s="7" t="s">
        <v>28</v>
      </c>
      <c r="U37" s="7" t="s">
        <v>29</v>
      </c>
      <c r="W37" s="50"/>
      <c r="X37" s="10"/>
      <c r="Y37" s="10"/>
      <c r="Z37" s="64"/>
    </row>
    <row r="38" spans="1:48" ht="16" x14ac:dyDescent="0.2">
      <c r="A38" s="5" t="s">
        <v>49</v>
      </c>
      <c r="B38" s="10">
        <f>SUM(Nordmaling:Skellefteå!B38)</f>
        <v>0</v>
      </c>
      <c r="C38" s="10">
        <f>SUM(Nordmaling:Skellefteå!C38)</f>
        <v>0</v>
      </c>
      <c r="D38" s="10">
        <f>SUM(Nordmaling:Skellefteå!D38)</f>
        <v>0</v>
      </c>
      <c r="E38" s="10">
        <f>SUM(Nordmaling:Skellefteå!E38)</f>
        <v>0</v>
      </c>
      <c r="F38" s="10">
        <f>SUM(Nordmaling:Skellefteå!F38)</f>
        <v>0</v>
      </c>
      <c r="G38" s="10">
        <f>SUM(Nordmaling:Skellefteå!G38)</f>
        <v>0</v>
      </c>
      <c r="H38" s="10">
        <f>SUM(Nordmaling:Skellefteå!H38)</f>
        <v>0</v>
      </c>
      <c r="I38" s="10">
        <f>SUM(Nordmaling:Skellefteå!I38)</f>
        <v>0</v>
      </c>
      <c r="J38" s="10">
        <f>SUM(Nordmaling:Skellefteå!J38)</f>
        <v>0</v>
      </c>
      <c r="K38" s="10">
        <f>SUM(Nordmaling:Skellefteå!K38)</f>
        <v>0</v>
      </c>
      <c r="L38" s="10">
        <f>SUM(Nordmaling:Skellefteå!L38)</f>
        <v>0</v>
      </c>
      <c r="M38" s="10">
        <f>SUM(Nordmaling:Skellefteå!M38)</f>
        <v>0</v>
      </c>
      <c r="N38" s="10">
        <f>SUM(Nordmaling:Skellefteå!N38)</f>
        <v>145933</v>
      </c>
      <c r="O38" s="10">
        <f t="shared" si="1"/>
        <v>145933</v>
      </c>
      <c r="P38" s="18">
        <f>SUM(P31:P35)</f>
        <v>0.77775950383639192</v>
      </c>
      <c r="Q38" s="18"/>
      <c r="R38" s="3"/>
      <c r="S38" s="7" t="s">
        <v>50</v>
      </c>
      <c r="T38" s="19">
        <f>O45/1000</f>
        <v>579.81772104231629</v>
      </c>
      <c r="U38" s="7"/>
      <c r="W38" s="50"/>
      <c r="X38" s="10"/>
      <c r="Y38" s="10"/>
      <c r="Z38" s="64"/>
    </row>
    <row r="39" spans="1:48" ht="16" x14ac:dyDescent="0.2">
      <c r="A39" s="5" t="s">
        <v>17</v>
      </c>
      <c r="B39" s="10">
        <f>SUM(B31:B38)</f>
        <v>1563356</v>
      </c>
      <c r="C39" s="10">
        <f t="shared" ref="C39:O39" si="2">SUM(C31:C38)</f>
        <v>3094586</v>
      </c>
      <c r="D39" s="10">
        <f t="shared" si="2"/>
        <v>392002</v>
      </c>
      <c r="E39" s="10">
        <f t="shared" si="2"/>
        <v>33389</v>
      </c>
      <c r="F39" s="10">
        <f t="shared" si="2"/>
        <v>235135.34999999998</v>
      </c>
      <c r="G39" s="10">
        <f t="shared" si="2"/>
        <v>1207064.6369710467</v>
      </c>
      <c r="H39" s="10">
        <f t="shared" si="2"/>
        <v>10786.111111111111</v>
      </c>
      <c r="I39" s="10">
        <f t="shared" si="2"/>
        <v>820719</v>
      </c>
      <c r="J39" s="10">
        <f t="shared" si="2"/>
        <v>0</v>
      </c>
      <c r="K39" s="10">
        <f t="shared" si="2"/>
        <v>0</v>
      </c>
      <c r="L39" s="10">
        <f t="shared" si="2"/>
        <v>7347</v>
      </c>
      <c r="M39" s="10">
        <f t="shared" si="2"/>
        <v>40533</v>
      </c>
      <c r="N39" s="10">
        <f t="shared" si="2"/>
        <v>3976059.0130289532</v>
      </c>
      <c r="O39" s="10">
        <f t="shared" si="2"/>
        <v>11380977.111111112</v>
      </c>
      <c r="P39" s="3"/>
      <c r="Q39" s="3"/>
      <c r="R39" s="3"/>
      <c r="S39" s="7" t="s">
        <v>51</v>
      </c>
      <c r="T39" s="20">
        <f>O41/1000</f>
        <v>2529.3139999999999</v>
      </c>
      <c r="U39" s="15">
        <f>P41</f>
        <v>0.22224049616360805</v>
      </c>
      <c r="Z39" s="64"/>
    </row>
    <row r="40" spans="1:48" x14ac:dyDescent="0.2">
      <c r="S40" s="7" t="s">
        <v>52</v>
      </c>
      <c r="T40" s="20">
        <f>O35/1000</f>
        <v>1104.7260168027954</v>
      </c>
      <c r="U40" s="16">
        <f>P35</f>
        <v>9.7067765449090015E-2</v>
      </c>
      <c r="Z40" s="64"/>
    </row>
    <row r="41" spans="1:48" ht="16" x14ac:dyDescent="0.2">
      <c r="A41" s="21" t="s">
        <v>53</v>
      </c>
      <c r="B41" s="22">
        <f>B38+B37+B36</f>
        <v>851859</v>
      </c>
      <c r="C41" s="22">
        <f t="shared" ref="C41:O41" si="3">C38+C37+C36</f>
        <v>7849</v>
      </c>
      <c r="D41" s="22">
        <f t="shared" si="3"/>
        <v>0</v>
      </c>
      <c r="E41" s="22">
        <f t="shared" si="3"/>
        <v>0</v>
      </c>
      <c r="F41" s="22">
        <f t="shared" si="3"/>
        <v>0</v>
      </c>
      <c r="G41" s="22">
        <f t="shared" si="3"/>
        <v>498778</v>
      </c>
      <c r="H41" s="22">
        <f t="shared" si="3"/>
        <v>0</v>
      </c>
      <c r="I41" s="22">
        <f t="shared" si="3"/>
        <v>0</v>
      </c>
      <c r="J41" s="22">
        <f t="shared" si="3"/>
        <v>0</v>
      </c>
      <c r="K41" s="22">
        <f t="shared" si="3"/>
        <v>0</v>
      </c>
      <c r="L41" s="22">
        <f t="shared" si="3"/>
        <v>0</v>
      </c>
      <c r="M41" s="22">
        <f t="shared" ref="M41" si="4">M38+M37+M36</f>
        <v>0</v>
      </c>
      <c r="N41" s="22">
        <f t="shared" si="3"/>
        <v>1170828</v>
      </c>
      <c r="O41" s="22">
        <f t="shared" si="3"/>
        <v>2529314</v>
      </c>
      <c r="P41" s="17">
        <f>O41/O$39</f>
        <v>0.22224049616360805</v>
      </c>
      <c r="Q41" s="17" t="s">
        <v>54</v>
      </c>
      <c r="R41" s="7"/>
      <c r="S41" s="7" t="s">
        <v>55</v>
      </c>
      <c r="T41" s="20">
        <f>O33/1000</f>
        <v>610.80931806069827</v>
      </c>
      <c r="U41" s="15">
        <f>P33</f>
        <v>5.3669321368230535E-2</v>
      </c>
      <c r="Z41" s="64"/>
    </row>
    <row r="42" spans="1:48" ht="16" x14ac:dyDescent="0.2">
      <c r="A42" s="23" t="s">
        <v>56</v>
      </c>
      <c r="B42" s="22"/>
      <c r="C42" s="24">
        <f>C39+C23+C10</f>
        <v>3133742</v>
      </c>
      <c r="D42" s="24">
        <f t="shared" ref="D42:L42" si="5">D39+D23+D10</f>
        <v>392002</v>
      </c>
      <c r="E42" s="24">
        <f t="shared" si="5"/>
        <v>33389</v>
      </c>
      <c r="F42" s="24">
        <f t="shared" si="5"/>
        <v>235135.34999999998</v>
      </c>
      <c r="G42" s="24">
        <f t="shared" si="5"/>
        <v>2954526.6369710467</v>
      </c>
      <c r="H42" s="24">
        <f t="shared" si="5"/>
        <v>10786.111111111111</v>
      </c>
      <c r="I42" s="24">
        <f t="shared" si="5"/>
        <v>820719</v>
      </c>
      <c r="J42" s="24">
        <f t="shared" si="5"/>
        <v>84030</v>
      </c>
      <c r="K42" s="24">
        <f t="shared" si="5"/>
        <v>447490</v>
      </c>
      <c r="L42" s="24">
        <f t="shared" si="5"/>
        <v>7347</v>
      </c>
      <c r="M42" s="24">
        <f t="shared" ref="M42" si="6">M39+M23+M10</f>
        <v>40533</v>
      </c>
      <c r="N42" s="24">
        <f>N39+N23-B6+N45</f>
        <v>3920814.2090712697</v>
      </c>
      <c r="O42" s="25">
        <f>SUM(C42:N42)</f>
        <v>12080514.307153428</v>
      </c>
      <c r="P42" s="7"/>
      <c r="Q42" s="7"/>
      <c r="R42" s="7"/>
      <c r="S42" s="7" t="s">
        <v>37</v>
      </c>
      <c r="T42" s="20">
        <f>O31/1000</f>
        <v>217.11199999999999</v>
      </c>
      <c r="U42" s="15">
        <f>P31</f>
        <v>1.9076745158202291E-2</v>
      </c>
    </row>
    <row r="43" spans="1:48" ht="16" x14ac:dyDescent="0.2">
      <c r="A43" s="23" t="s">
        <v>57</v>
      </c>
      <c r="B43" s="22"/>
      <c r="C43" s="17">
        <f t="shared" ref="C43:N43" si="7">C42/$O42</f>
        <v>0.25940468429761865</v>
      </c>
      <c r="D43" s="17">
        <f t="shared" si="7"/>
        <v>3.2449115164565272E-2</v>
      </c>
      <c r="E43" s="17">
        <f t="shared" si="7"/>
        <v>2.7638723940940856E-3</v>
      </c>
      <c r="F43" s="17">
        <f t="shared" si="7"/>
        <v>1.9464018171872495E-2</v>
      </c>
      <c r="G43" s="17">
        <f t="shared" si="7"/>
        <v>0.24456960704243658</v>
      </c>
      <c r="H43" s="17">
        <f t="shared" si="7"/>
        <v>8.9285197938337437E-4</v>
      </c>
      <c r="I43" s="17">
        <f t="shared" si="7"/>
        <v>6.7937422127302527E-2</v>
      </c>
      <c r="J43" s="17">
        <f t="shared" si="7"/>
        <v>6.9558296827016688E-3</v>
      </c>
      <c r="K43" s="17">
        <f t="shared" si="7"/>
        <v>3.7042297092849813E-2</v>
      </c>
      <c r="L43" s="17">
        <f t="shared" si="7"/>
        <v>6.0816947136509776E-4</v>
      </c>
      <c r="M43" s="17">
        <f t="shared" ref="M43" si="8">M42/$O42</f>
        <v>3.3552379451261068E-3</v>
      </c>
      <c r="N43" s="17">
        <f t="shared" si="7"/>
        <v>0.32455689463068432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4045.2206651365063</v>
      </c>
      <c r="U43" s="16">
        <f>P32</f>
        <v>0.35543702668439653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2873.7951111111111</v>
      </c>
      <c r="U44" s="16">
        <f>P34</f>
        <v>0.25250864517647253</v>
      </c>
    </row>
    <row r="45" spans="1:48" ht="16" x14ac:dyDescent="0.2">
      <c r="A45" s="6" t="s">
        <v>60</v>
      </c>
      <c r="B45" s="6">
        <f>B23-B39</f>
        <v>261733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318084.72104231629</v>
      </c>
      <c r="O45" s="25">
        <f>B45+N45</f>
        <v>579817.72104231629</v>
      </c>
      <c r="P45" s="7"/>
      <c r="Q45" s="7"/>
      <c r="R45" s="7"/>
      <c r="S45" s="7" t="s">
        <v>61</v>
      </c>
      <c r="T45" s="20">
        <f>SUM(T39:T44)</f>
        <v>11380.977111111111</v>
      </c>
      <c r="U45" s="15">
        <f>SUM(U39:U44)</f>
        <v>1</v>
      </c>
    </row>
    <row r="46" spans="1:48" ht="16" x14ac:dyDescent="0.2">
      <c r="A46" s="6"/>
      <c r="B46" s="6"/>
      <c r="C46" s="6"/>
      <c r="D46" s="6"/>
      <c r="E46" s="6"/>
      <c r="F46" s="6"/>
      <c r="G46" s="6"/>
      <c r="H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51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9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51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 t="s">
        <v>159</v>
      </c>
      <c r="N49" s="11">
        <f>N39+N45+N23-B10</f>
        <v>-12582981.24092873</v>
      </c>
      <c r="O49" s="10"/>
      <c r="P49" s="28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28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28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8"/>
      <c r="F56" s="28"/>
      <c r="G56" s="28"/>
      <c r="H56" s="28"/>
      <c r="I56" s="6"/>
      <c r="J56" s="28"/>
      <c r="K56" s="28"/>
      <c r="L56" s="28"/>
      <c r="M56" s="28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7"/>
      <c r="G57" s="27"/>
      <c r="H57" s="29"/>
      <c r="I57" s="9"/>
      <c r="J57" s="27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8"/>
      <c r="G58" s="27"/>
      <c r="H58" s="29"/>
      <c r="I58" s="9"/>
      <c r="J58" s="27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7"/>
      <c r="G59" s="27"/>
      <c r="H59" s="29"/>
      <c r="I59" s="9"/>
      <c r="J59" s="27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7"/>
      <c r="G60" s="27"/>
      <c r="H60" s="29"/>
      <c r="I60" s="9"/>
      <c r="J60" s="27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27"/>
      <c r="G61" s="27"/>
      <c r="H61" s="7"/>
      <c r="I61" s="9"/>
      <c r="J61" s="27"/>
      <c r="K61" s="6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27"/>
      <c r="G62" s="27"/>
      <c r="H62" s="7"/>
      <c r="I62" s="9"/>
      <c r="J62" s="2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5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7"/>
      <c r="D65" s="6"/>
      <c r="E65" s="43"/>
      <c r="F65" s="43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44"/>
      <c r="B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D68" s="11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23"/>
      <c r="D70" s="23"/>
      <c r="E70" s="6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  <row r="71" spans="1:21" x14ac:dyDescent="0.2">
      <c r="C71" s="42"/>
      <c r="D71" s="42"/>
      <c r="E71" s="6"/>
    </row>
    <row r="72" spans="1:21" x14ac:dyDescent="0.2">
      <c r="E72" s="6"/>
    </row>
    <row r="73" spans="1:21" x14ac:dyDescent="0.2">
      <c r="E73" s="6"/>
    </row>
    <row r="74" spans="1:21" x14ac:dyDescent="0.2">
      <c r="D74" s="11"/>
      <c r="E74" s="11"/>
      <c r="F74" s="11"/>
    </row>
  </sheetData>
  <pageMargins left="0.75" right="0.75" top="0.75" bottom="0.5" header="0.5" footer="0.75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0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69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11*0.95</f>
        <v>10.45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65">
        <v>112204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65">
        <f>SUM(B4:B9)</f>
        <v>112214.45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69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6">
        <f>17208+1280</f>
        <v>18488</v>
      </c>
      <c r="C18" s="53">
        <v>567</v>
      </c>
      <c r="D18" s="53">
        <v>0</v>
      </c>
      <c r="E18" s="53">
        <v>0</v>
      </c>
      <c r="F18" s="53">
        <v>0</v>
      </c>
      <c r="G18" s="53">
        <v>21996</v>
      </c>
      <c r="H18" s="53">
        <v>0</v>
      </c>
      <c r="I18" s="53"/>
      <c r="J18" s="53"/>
      <c r="K18" s="53"/>
      <c r="L18" s="53"/>
      <c r="M18" s="53"/>
      <c r="N18" s="53"/>
      <c r="O18" s="53">
        <v>22563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119.23532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6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40.828319999999998</v>
      </c>
      <c r="U22" s="15">
        <f>N43</f>
        <v>0.34241800164582104</v>
      </c>
    </row>
    <row r="23" spans="1:21" ht="16" x14ac:dyDescent="0.2">
      <c r="A23" s="8" t="s">
        <v>17</v>
      </c>
      <c r="B23" s="53">
        <v>18488</v>
      </c>
      <c r="C23" s="53">
        <v>567</v>
      </c>
      <c r="D23" s="53">
        <v>0</v>
      </c>
      <c r="E23" s="53">
        <v>0</v>
      </c>
      <c r="F23" s="53">
        <v>0</v>
      </c>
      <c r="G23" s="53">
        <v>21996</v>
      </c>
      <c r="H23" s="53">
        <v>0</v>
      </c>
      <c r="I23" s="53"/>
      <c r="J23" s="53"/>
      <c r="K23" s="53"/>
      <c r="L23" s="53"/>
      <c r="M23" s="53"/>
      <c r="N23" s="53"/>
      <c r="O23" s="53">
        <v>22563</v>
      </c>
      <c r="P23" s="3"/>
      <c r="Q23" s="3"/>
      <c r="R23" s="3"/>
      <c r="S23" s="48" t="s">
        <v>131</v>
      </c>
      <c r="T23" s="13">
        <f>G42/1000</f>
        <v>30.167000000000002</v>
      </c>
      <c r="U23" s="16">
        <f>G43</f>
        <v>0.25300389179984589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3.1869999999999998</v>
      </c>
      <c r="U25" s="15">
        <f>F43</f>
        <v>2.6728657246862755E-2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69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3023</v>
      </c>
      <c r="D31" s="53">
        <v>0</v>
      </c>
      <c r="E31" s="53">
        <v>0</v>
      </c>
      <c r="F31" s="53">
        <v>313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402</v>
      </c>
      <c r="O31" s="53">
        <v>3737</v>
      </c>
      <c r="P31" s="17">
        <f>O31/O$39</f>
        <v>3.4051975506633622E-2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2450</v>
      </c>
      <c r="C32" s="56">
        <f>O32-N32-B32</f>
        <v>1733</v>
      </c>
      <c r="D32" s="53">
        <v>0</v>
      </c>
      <c r="E32" s="56">
        <v>0</v>
      </c>
      <c r="F32" s="53">
        <v>0</v>
      </c>
      <c r="G32" s="53">
        <v>0</v>
      </c>
      <c r="H32" s="53">
        <v>0</v>
      </c>
      <c r="I32" s="53"/>
      <c r="J32" s="53"/>
      <c r="K32" s="53"/>
      <c r="L32" s="53"/>
      <c r="M32" s="41"/>
      <c r="N32" s="56">
        <v>5538</v>
      </c>
      <c r="O32" s="53">
        <v>9721</v>
      </c>
      <c r="P32" s="17">
        <f>O32/O$39</f>
        <v>8.8578874471497301E-2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998</v>
      </c>
      <c r="C33" s="53">
        <v>336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5535</v>
      </c>
      <c r="O33" s="53">
        <v>6869</v>
      </c>
      <c r="P33" s="17">
        <f>O33/O$39</f>
        <v>6.2591121154687276E-2</v>
      </c>
      <c r="Q33" s="18" t="s">
        <v>42</v>
      </c>
      <c r="R33" s="3"/>
      <c r="S33" s="48" t="s">
        <v>38</v>
      </c>
      <c r="T33" s="13">
        <f>C42/1000</f>
        <v>45.052999999999997</v>
      </c>
      <c r="U33" s="16">
        <f>C43</f>
        <v>0.37784944930747028</v>
      </c>
    </row>
    <row r="34" spans="1:48" ht="16" x14ac:dyDescent="0.2">
      <c r="A34" s="5" t="s">
        <v>43</v>
      </c>
      <c r="B34" s="53">
        <v>0</v>
      </c>
      <c r="C34" s="53">
        <v>36669</v>
      </c>
      <c r="D34" s="53">
        <v>0</v>
      </c>
      <c r="E34" s="53">
        <v>0</v>
      </c>
      <c r="F34" s="53">
        <v>2875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6</v>
      </c>
      <c r="O34" s="53">
        <v>39549</v>
      </c>
      <c r="P34" s="17">
        <f>O34/O$39</f>
        <v>0.36037505467269282</v>
      </c>
      <c r="Q34" s="18" t="s">
        <v>44</v>
      </c>
      <c r="R34" s="3"/>
      <c r="S34" s="3"/>
      <c r="T34" s="13">
        <f>SUM(T22:T33)</f>
        <v>119.23531999999999</v>
      </c>
      <c r="U34" s="15">
        <f>SUM(U22:U33)</f>
        <v>1</v>
      </c>
    </row>
    <row r="35" spans="1:48" ht="16" x14ac:dyDescent="0.2">
      <c r="A35" s="5" t="s">
        <v>45</v>
      </c>
      <c r="B35" s="53">
        <v>4187</v>
      </c>
      <c r="C35" s="53">
        <v>2650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7772</v>
      </c>
      <c r="O35" s="53">
        <v>14608</v>
      </c>
      <c r="P35" s="17">
        <f>O35/O$39</f>
        <v>0.13310978276716723</v>
      </c>
      <c r="Q35" s="18" t="s">
        <v>46</v>
      </c>
      <c r="R35" s="18"/>
    </row>
    <row r="36" spans="1:48" ht="16" x14ac:dyDescent="0.2">
      <c r="A36" s="5" t="s">
        <v>47</v>
      </c>
      <c r="B36" s="53">
        <v>1142</v>
      </c>
      <c r="C36" s="56">
        <v>75</v>
      </c>
      <c r="D36" s="53">
        <v>0</v>
      </c>
      <c r="E36" s="53">
        <v>0</v>
      </c>
      <c r="F36" s="53">
        <v>0</v>
      </c>
      <c r="G36" s="53">
        <v>8171</v>
      </c>
      <c r="H36" s="53">
        <v>0</v>
      </c>
      <c r="I36" s="53"/>
      <c r="J36" s="53"/>
      <c r="K36" s="53"/>
      <c r="L36" s="53"/>
      <c r="M36" s="41"/>
      <c r="N36" s="53">
        <v>12831</v>
      </c>
      <c r="O36" s="56">
        <f>SUM(B36:N36)</f>
        <v>22219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7321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1170</v>
      </c>
      <c r="O37" s="53">
        <v>8491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4550</v>
      </c>
      <c r="O38" s="53">
        <v>4550</v>
      </c>
      <c r="P38" s="18">
        <f>SUM(P31:P35)</f>
        <v>0.67870680857267818</v>
      </c>
      <c r="Q38" s="18"/>
      <c r="R38" s="3"/>
      <c r="S38" s="7" t="s">
        <v>50</v>
      </c>
      <c r="T38" s="19">
        <f>O45/1000</f>
        <v>5.41432</v>
      </c>
      <c r="U38" s="7"/>
    </row>
    <row r="39" spans="1:48" ht="16" x14ac:dyDescent="0.2">
      <c r="A39" s="5" t="s">
        <v>17</v>
      </c>
      <c r="B39" s="53">
        <v>16098</v>
      </c>
      <c r="C39" s="56">
        <f>SUM(C31:C38)</f>
        <v>44486</v>
      </c>
      <c r="D39" s="53">
        <v>0</v>
      </c>
      <c r="E39" s="56">
        <f>SUM(E31:E38)</f>
        <v>0</v>
      </c>
      <c r="F39" s="53">
        <v>3187</v>
      </c>
      <c r="G39" s="53">
        <v>8171</v>
      </c>
      <c r="H39" s="53">
        <v>0</v>
      </c>
      <c r="I39" s="53"/>
      <c r="J39" s="53"/>
      <c r="K39" s="53"/>
      <c r="L39" s="53"/>
      <c r="M39" s="41"/>
      <c r="N39" s="56">
        <f>SUM(N31:N38)</f>
        <v>37804</v>
      </c>
      <c r="O39" s="56">
        <f>SUM(O31:O38)</f>
        <v>109744</v>
      </c>
      <c r="P39" s="3"/>
      <c r="Q39" s="3"/>
      <c r="R39" s="3"/>
      <c r="S39" s="7" t="s">
        <v>51</v>
      </c>
      <c r="T39" s="20">
        <f>O41/1000</f>
        <v>35.26</v>
      </c>
      <c r="U39" s="15">
        <f>P41</f>
        <v>0.32129319142732177</v>
      </c>
    </row>
    <row r="40" spans="1:48" x14ac:dyDescent="0.2">
      <c r="C40" s="11"/>
      <c r="S40" s="7" t="s">
        <v>52</v>
      </c>
      <c r="T40" s="20">
        <f>O35/1000</f>
        <v>14.608000000000001</v>
      </c>
      <c r="U40" s="16">
        <f>P35</f>
        <v>0.13310978276716723</v>
      </c>
    </row>
    <row r="41" spans="1:48" ht="16" x14ac:dyDescent="0.2">
      <c r="A41" s="21" t="s">
        <v>53</v>
      </c>
      <c r="B41" s="22">
        <f>B38+B37+B36</f>
        <v>8463</v>
      </c>
      <c r="C41" s="22">
        <f t="shared" ref="C41:O41" si="0">C38+C37+C36</f>
        <v>75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8171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18551</v>
      </c>
      <c r="O41" s="22">
        <f t="shared" si="0"/>
        <v>35260</v>
      </c>
      <c r="P41" s="17">
        <f>O41/O$39</f>
        <v>0.32129319142732177</v>
      </c>
      <c r="Q41" s="17" t="s">
        <v>54</v>
      </c>
      <c r="R41" s="7"/>
      <c r="S41" s="7" t="s">
        <v>55</v>
      </c>
      <c r="T41" s="20">
        <f>O33/1000</f>
        <v>6.8689999999999998</v>
      </c>
      <c r="U41" s="15">
        <f>P33</f>
        <v>6.2591121154687276E-2</v>
      </c>
    </row>
    <row r="42" spans="1:48" ht="16" x14ac:dyDescent="0.2">
      <c r="A42" s="23" t="s">
        <v>56</v>
      </c>
      <c r="B42" s="22"/>
      <c r="C42" s="24">
        <f>C39+C23+C10</f>
        <v>45053</v>
      </c>
      <c r="D42" s="24">
        <f t="shared" ref="D42:L42" si="2">D39+D23+D10</f>
        <v>0</v>
      </c>
      <c r="E42" s="24">
        <f t="shared" si="2"/>
        <v>0</v>
      </c>
      <c r="F42" s="24">
        <f t="shared" si="2"/>
        <v>3187</v>
      </c>
      <c r="G42" s="24">
        <f t="shared" si="2"/>
        <v>30167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40828.32</v>
      </c>
      <c r="O42" s="25">
        <f>SUM(C42:N42)</f>
        <v>119235.32</v>
      </c>
      <c r="P42" s="7"/>
      <c r="Q42" s="7"/>
      <c r="R42" s="7"/>
      <c r="S42" s="7" t="s">
        <v>37</v>
      </c>
      <c r="T42" s="20">
        <f>O31/1000</f>
        <v>3.7370000000000001</v>
      </c>
      <c r="U42" s="15">
        <f>P31</f>
        <v>3.4051975506633622E-2</v>
      </c>
    </row>
    <row r="43" spans="1:48" ht="16" x14ac:dyDescent="0.2">
      <c r="A43" s="23" t="s">
        <v>57</v>
      </c>
      <c r="B43" s="22"/>
      <c r="C43" s="17">
        <f t="shared" ref="C43:N43" si="4">C42/$O42</f>
        <v>0.37784944930747028</v>
      </c>
      <c r="D43" s="17">
        <f t="shared" si="4"/>
        <v>0</v>
      </c>
      <c r="E43" s="17">
        <f t="shared" si="4"/>
        <v>0</v>
      </c>
      <c r="F43" s="17">
        <f t="shared" si="4"/>
        <v>2.6728657246862755E-2</v>
      </c>
      <c r="G43" s="17">
        <f t="shared" si="4"/>
        <v>0.25300389179984589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0.34241800164582104</v>
      </c>
      <c r="O43" s="17">
        <f>SUM(C43:N43)</f>
        <v>0.99999999999999989</v>
      </c>
      <c r="P43" s="7"/>
      <c r="Q43" s="7"/>
      <c r="R43" s="7"/>
      <c r="S43" s="7" t="s">
        <v>58</v>
      </c>
      <c r="T43" s="20">
        <f>O32/1000</f>
        <v>9.7210000000000001</v>
      </c>
      <c r="U43" s="16">
        <f>P32</f>
        <v>8.8578874471497301E-2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39.548999999999999</v>
      </c>
      <c r="U44" s="16">
        <f>P34</f>
        <v>0.36037505467269282</v>
      </c>
    </row>
    <row r="45" spans="1:48" ht="16" x14ac:dyDescent="0.2">
      <c r="A45" s="6" t="s">
        <v>60</v>
      </c>
      <c r="B45" s="6">
        <f>B23-B39</f>
        <v>2390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3024.32</v>
      </c>
      <c r="O45" s="25">
        <f>B45+N45</f>
        <v>5414.32</v>
      </c>
      <c r="P45" s="7"/>
      <c r="Q45" s="7"/>
      <c r="R45" s="7"/>
      <c r="S45" s="7" t="s">
        <v>61</v>
      </c>
      <c r="T45" s="20">
        <f>SUM(T39:T44)</f>
        <v>109.744</v>
      </c>
      <c r="U45" s="15">
        <f>SUM(U39:U44)</f>
        <v>1</v>
      </c>
    </row>
    <row r="46" spans="1:48" ht="16" x14ac:dyDescent="0.2">
      <c r="A46" s="6"/>
      <c r="B46" s="60">
        <f>B45/B23</f>
        <v>0.1292730419731718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9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5" t="s">
        <v>134</v>
      </c>
      <c r="B49" s="7"/>
      <c r="C49" s="29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5" t="s">
        <v>135</v>
      </c>
      <c r="B50" s="2" t="s">
        <v>136</v>
      </c>
      <c r="C50" s="6" t="s">
        <v>98</v>
      </c>
      <c r="D50" s="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5" t="s">
        <v>137</v>
      </c>
      <c r="B51" s="67">
        <v>1.6</v>
      </c>
      <c r="C51" s="6">
        <f>B51*1000*9.1</f>
        <v>14560</v>
      </c>
      <c r="D51" s="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5" t="s">
        <v>138</v>
      </c>
      <c r="B52" s="67">
        <v>2.9</v>
      </c>
      <c r="C52" s="6">
        <f>B52*1000*9.77</f>
        <v>28333</v>
      </c>
      <c r="D52" s="32">
        <f>SUM(C51:C53)</f>
        <v>42893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5" t="s">
        <v>139</v>
      </c>
      <c r="B53" s="67"/>
      <c r="C53" s="6">
        <f>B53*1000*5.9</f>
        <v>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 t="s">
        <v>140</v>
      </c>
      <c r="B54" s="67">
        <v>0.5</v>
      </c>
      <c r="C54" s="6">
        <f>B54*1000*9.95</f>
        <v>4975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 t="s">
        <v>141</v>
      </c>
      <c r="B55" s="67"/>
      <c r="C55" s="6">
        <f>B55*1000*9.95</f>
        <v>0</v>
      </c>
      <c r="D55" s="11">
        <f>SUM(C54:C56)</f>
        <v>4975</v>
      </c>
      <c r="E55" s="27"/>
      <c r="F55" s="28"/>
      <c r="G55" s="28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 t="s">
        <v>142</v>
      </c>
      <c r="B56" s="67"/>
      <c r="C56" s="6">
        <f>B56*1000*10.6</f>
        <v>0</v>
      </c>
      <c r="E56" s="27"/>
      <c r="F56" s="28"/>
      <c r="G56" s="28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C57" s="11">
        <f>SUM(C51:C56)</f>
        <v>47868</v>
      </c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1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70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33*0.95</f>
        <v>31.349999999999998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6">
        <v>1396057.0691949774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SUM(B4:B9)</f>
        <v>1396088.4191949775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70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6">
        <f>42749+5700</f>
        <v>48449</v>
      </c>
      <c r="C18" s="53">
        <v>1244</v>
      </c>
      <c r="D18" s="53">
        <v>0</v>
      </c>
      <c r="E18" s="53">
        <v>0</v>
      </c>
      <c r="F18" s="53">
        <v>0</v>
      </c>
      <c r="G18" s="53">
        <v>53360</v>
      </c>
      <c r="H18" s="53">
        <v>0</v>
      </c>
      <c r="I18" s="53"/>
      <c r="J18" s="53"/>
      <c r="K18" s="53"/>
      <c r="L18" s="53"/>
      <c r="M18" s="53"/>
      <c r="N18" s="53"/>
      <c r="O18" s="53">
        <v>54604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324.27535999999998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6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85.959360000000004</v>
      </c>
      <c r="U22" s="15">
        <f>N43</f>
        <v>0.26508138021957639</v>
      </c>
    </row>
    <row r="23" spans="1:21" ht="16" x14ac:dyDescent="0.2">
      <c r="A23" s="8" t="s">
        <v>17</v>
      </c>
      <c r="B23" s="53">
        <v>48449</v>
      </c>
      <c r="C23" s="53">
        <v>1244</v>
      </c>
      <c r="D23" s="53">
        <v>0</v>
      </c>
      <c r="E23" s="53">
        <v>0</v>
      </c>
      <c r="F23" s="53">
        <v>0</v>
      </c>
      <c r="G23" s="53">
        <v>53360</v>
      </c>
      <c r="H23" s="53">
        <v>0</v>
      </c>
      <c r="I23" s="53"/>
      <c r="J23" s="53"/>
      <c r="K23" s="53"/>
      <c r="L23" s="53"/>
      <c r="M23" s="53"/>
      <c r="N23" s="53"/>
      <c r="O23" s="53">
        <v>54604</v>
      </c>
      <c r="P23" s="3"/>
      <c r="Q23" s="3"/>
      <c r="R23" s="3"/>
      <c r="S23" s="48" t="s">
        <v>131</v>
      </c>
      <c r="T23" s="13">
        <f>G42/1000</f>
        <v>109.952</v>
      </c>
      <c r="U23" s="16">
        <f>G43</f>
        <v>0.33906985717323695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9.9290000000000003</v>
      </c>
      <c r="U25" s="15">
        <f>F43</f>
        <v>3.0619039325097044E-2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70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8779</v>
      </c>
      <c r="D31" s="53">
        <v>0</v>
      </c>
      <c r="E31" s="53">
        <v>0</v>
      </c>
      <c r="F31" s="53">
        <v>909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7191</v>
      </c>
      <c r="O31" s="53">
        <v>16878</v>
      </c>
      <c r="P31" s="17">
        <f>O31/O$39</f>
        <v>5.528278464345257E-2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2670</v>
      </c>
      <c r="C32" s="56">
        <v>1853</v>
      </c>
      <c r="D32" s="53">
        <v>0</v>
      </c>
      <c r="E32" s="53">
        <v>0</v>
      </c>
      <c r="F32" s="53">
        <v>0</v>
      </c>
      <c r="G32" s="56">
        <f>O32-N32-C32-B32</f>
        <v>29751</v>
      </c>
      <c r="H32" s="53">
        <v>0</v>
      </c>
      <c r="I32" s="53"/>
      <c r="J32" s="53"/>
      <c r="K32" s="53"/>
      <c r="L32" s="53"/>
      <c r="M32" s="41"/>
      <c r="N32" s="56">
        <v>6636</v>
      </c>
      <c r="O32" s="53">
        <v>40910</v>
      </c>
      <c r="P32" s="17">
        <f>O32/O$39</f>
        <v>0.13399802818838991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8610</v>
      </c>
      <c r="C33" s="53">
        <v>1558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12367</v>
      </c>
      <c r="O33" s="53">
        <v>22535</v>
      </c>
      <c r="P33" s="17">
        <f>O33/O$39</f>
        <v>7.3811917996220153E-2</v>
      </c>
      <c r="Q33" s="18" t="s">
        <v>42</v>
      </c>
      <c r="R33" s="3"/>
      <c r="S33" s="48" t="s">
        <v>38</v>
      </c>
      <c r="T33" s="13">
        <f>C42/1000</f>
        <v>118.435</v>
      </c>
      <c r="U33" s="16">
        <f>C43</f>
        <v>0.36522972328208964</v>
      </c>
    </row>
    <row r="34" spans="1:48" ht="16" x14ac:dyDescent="0.2">
      <c r="A34" s="5" t="s">
        <v>43</v>
      </c>
      <c r="B34" s="53">
        <v>0</v>
      </c>
      <c r="C34" s="53">
        <v>104425</v>
      </c>
      <c r="D34" s="53">
        <v>0</v>
      </c>
      <c r="E34" s="53">
        <v>0</v>
      </c>
      <c r="F34" s="53">
        <v>9021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1940</v>
      </c>
      <c r="O34" s="53">
        <v>115385</v>
      </c>
      <c r="P34" s="17">
        <f>O34/O$39</f>
        <v>0.37793601766114321</v>
      </c>
      <c r="Q34" s="18" t="s">
        <v>44</v>
      </c>
      <c r="R34" s="3"/>
      <c r="S34" s="3"/>
      <c r="T34" s="13">
        <f>SUM(T22:T33)</f>
        <v>324.27535999999998</v>
      </c>
      <c r="U34" s="15">
        <f>SUM(U22:U33)</f>
        <v>1</v>
      </c>
    </row>
    <row r="35" spans="1:48" ht="16" x14ac:dyDescent="0.2">
      <c r="A35" s="5" t="s">
        <v>45</v>
      </c>
      <c r="B35" s="56">
        <f>7071+1606</f>
        <v>8677</v>
      </c>
      <c r="C35" s="53">
        <v>340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13573</v>
      </c>
      <c r="O35" s="56">
        <f>SUM(B35:N35)</f>
        <v>22590</v>
      </c>
      <c r="P35" s="17">
        <f>O35/O$39</f>
        <v>7.3992066897475617E-2</v>
      </c>
      <c r="Q35" s="18" t="s">
        <v>46</v>
      </c>
      <c r="R35" s="18"/>
    </row>
    <row r="36" spans="1:48" ht="16" x14ac:dyDescent="0.2">
      <c r="A36" s="5" t="s">
        <v>47</v>
      </c>
      <c r="B36" s="63">
        <v>11282</v>
      </c>
      <c r="C36" s="56">
        <v>236</v>
      </c>
      <c r="D36" s="53">
        <v>0</v>
      </c>
      <c r="E36" s="53">
        <v>0</v>
      </c>
      <c r="F36" s="53">
        <v>0</v>
      </c>
      <c r="G36" s="53">
        <v>26841</v>
      </c>
      <c r="H36" s="53">
        <v>0</v>
      </c>
      <c r="I36" s="53"/>
      <c r="J36" s="53"/>
      <c r="K36" s="53"/>
      <c r="L36" s="53"/>
      <c r="M36" s="41"/>
      <c r="N36" s="53">
        <v>32377</v>
      </c>
      <c r="O36" s="56">
        <f>SUM(B36:N36)</f>
        <v>70736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63">
        <v>10761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2487</v>
      </c>
      <c r="O37" s="53">
        <v>13248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3021</v>
      </c>
      <c r="O38" s="53">
        <v>3021</v>
      </c>
      <c r="P38" s="18">
        <f>SUM(P31:P35)</f>
        <v>0.7150208153866815</v>
      </c>
      <c r="Q38" s="18"/>
      <c r="R38" s="3"/>
      <c r="S38" s="7" t="s">
        <v>50</v>
      </c>
      <c r="T38" s="19">
        <f>O45/1000</f>
        <v>12.816360000000001</v>
      </c>
      <c r="U38" s="7"/>
    </row>
    <row r="39" spans="1:48" ht="16" x14ac:dyDescent="0.2">
      <c r="A39" s="5" t="s">
        <v>17</v>
      </c>
      <c r="B39" s="62">
        <v>42000</v>
      </c>
      <c r="C39" s="56">
        <f>SUM(C31:C38)</f>
        <v>117191</v>
      </c>
      <c r="D39" s="53">
        <v>0</v>
      </c>
      <c r="E39" s="53">
        <v>0</v>
      </c>
      <c r="F39" s="53">
        <v>9929</v>
      </c>
      <c r="G39" s="56">
        <f>SUM(G31:G38)</f>
        <v>56592</v>
      </c>
      <c r="H39" s="53">
        <v>0</v>
      </c>
      <c r="I39" s="53"/>
      <c r="J39" s="53"/>
      <c r="K39" s="53"/>
      <c r="L39" s="53"/>
      <c r="M39" s="41"/>
      <c r="N39" s="56">
        <f>SUM(N31:N38)</f>
        <v>79592</v>
      </c>
      <c r="O39" s="56">
        <f>SUM(O31:O38)</f>
        <v>305303</v>
      </c>
      <c r="P39" s="3"/>
      <c r="Q39" s="3"/>
      <c r="R39" s="3"/>
      <c r="S39" s="7" t="s">
        <v>51</v>
      </c>
      <c r="T39" s="20">
        <f>O41/1000</f>
        <v>87.004999999999995</v>
      </c>
      <c r="U39" s="15">
        <f>P41</f>
        <v>0.28497918461331856</v>
      </c>
    </row>
    <row r="40" spans="1:48" x14ac:dyDescent="0.2">
      <c r="B40" s="11"/>
      <c r="O40" s="11"/>
      <c r="S40" s="7" t="s">
        <v>52</v>
      </c>
      <c r="T40" s="20">
        <f>O35/1000</f>
        <v>22.59</v>
      </c>
      <c r="U40" s="16">
        <f>P35</f>
        <v>7.3992066897475617E-2</v>
      </c>
    </row>
    <row r="41" spans="1:48" ht="16" x14ac:dyDescent="0.2">
      <c r="A41" s="21" t="s">
        <v>53</v>
      </c>
      <c r="B41" s="22">
        <f>B38+B37+B36</f>
        <v>22043</v>
      </c>
      <c r="C41" s="22">
        <f t="shared" ref="C41:O41" si="0">C38+C37+C36</f>
        <v>236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26841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37885</v>
      </c>
      <c r="O41" s="22">
        <f t="shared" si="0"/>
        <v>87005</v>
      </c>
      <c r="P41" s="17">
        <f>O41/O$39</f>
        <v>0.28497918461331856</v>
      </c>
      <c r="Q41" s="17" t="s">
        <v>54</v>
      </c>
      <c r="R41" s="7"/>
      <c r="S41" s="7" t="s">
        <v>55</v>
      </c>
      <c r="T41" s="20">
        <f>O33/1000</f>
        <v>22.535</v>
      </c>
      <c r="U41" s="15">
        <f>P33</f>
        <v>7.3811917996220153E-2</v>
      </c>
    </row>
    <row r="42" spans="1:48" ht="16" x14ac:dyDescent="0.2">
      <c r="A42" s="23" t="s">
        <v>56</v>
      </c>
      <c r="B42" s="22"/>
      <c r="C42" s="24">
        <f>C39+C23+C10</f>
        <v>118435</v>
      </c>
      <c r="D42" s="24">
        <f t="shared" ref="D42:L42" si="2">D39+D23+D10</f>
        <v>0</v>
      </c>
      <c r="E42" s="24">
        <f t="shared" si="2"/>
        <v>0</v>
      </c>
      <c r="F42" s="24">
        <f t="shared" si="2"/>
        <v>9929</v>
      </c>
      <c r="G42" s="24">
        <f t="shared" si="2"/>
        <v>109952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85959.360000000001</v>
      </c>
      <c r="O42" s="25">
        <f>SUM(C42:N42)</f>
        <v>324275.36</v>
      </c>
      <c r="P42" s="7"/>
      <c r="Q42" s="7"/>
      <c r="R42" s="7"/>
      <c r="S42" s="7" t="s">
        <v>37</v>
      </c>
      <c r="T42" s="20">
        <f>O31/1000</f>
        <v>16.878</v>
      </c>
      <c r="U42" s="15">
        <f>P31</f>
        <v>5.528278464345257E-2</v>
      </c>
    </row>
    <row r="43" spans="1:48" ht="16" x14ac:dyDescent="0.2">
      <c r="A43" s="23" t="s">
        <v>57</v>
      </c>
      <c r="B43" s="22"/>
      <c r="C43" s="17">
        <f t="shared" ref="C43:N43" si="4">C42/$O42</f>
        <v>0.36522972328208964</v>
      </c>
      <c r="D43" s="17">
        <f t="shared" si="4"/>
        <v>0</v>
      </c>
      <c r="E43" s="17">
        <f t="shared" si="4"/>
        <v>0</v>
      </c>
      <c r="F43" s="17">
        <f t="shared" si="4"/>
        <v>3.0619039325097044E-2</v>
      </c>
      <c r="G43" s="17">
        <f t="shared" si="4"/>
        <v>0.33906985717323695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0.26508138021957639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40.909999999999997</v>
      </c>
      <c r="U43" s="16">
        <f>P32</f>
        <v>0.13399802818838991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115.38500000000001</v>
      </c>
      <c r="U44" s="16">
        <f>P34</f>
        <v>0.37793601766114321</v>
      </c>
    </row>
    <row r="45" spans="1:48" ht="16" x14ac:dyDescent="0.2">
      <c r="A45" s="6" t="s">
        <v>60</v>
      </c>
      <c r="B45" s="6">
        <f>B23-B39</f>
        <v>6449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6367.3600000000006</v>
      </c>
      <c r="O45" s="25">
        <f>B45+N45</f>
        <v>12816.36</v>
      </c>
      <c r="P45" s="7"/>
      <c r="Q45" s="7"/>
      <c r="R45" s="7"/>
      <c r="S45" s="7" t="s">
        <v>61</v>
      </c>
      <c r="T45" s="20">
        <f>SUM(T39:T44)</f>
        <v>305.303</v>
      </c>
      <c r="U45" s="15">
        <f>SUM(U39:U44)</f>
        <v>1</v>
      </c>
    </row>
    <row r="46" spans="1:48" ht="16" x14ac:dyDescent="0.2">
      <c r="A46" s="6"/>
      <c r="B46" s="60">
        <f>B45/B23</f>
        <v>0.13310904249829719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  <c r="P48" s="28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5" t="s">
        <v>134</v>
      </c>
      <c r="B49" s="7"/>
      <c r="C49" s="29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5" t="s">
        <v>135</v>
      </c>
      <c r="B50" s="2" t="s">
        <v>136</v>
      </c>
      <c r="C50" s="6" t="s">
        <v>98</v>
      </c>
      <c r="D50" s="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5" t="s">
        <v>137</v>
      </c>
      <c r="B51" s="53">
        <v>3.6</v>
      </c>
      <c r="C51" s="53">
        <f>B51*1000*8.94</f>
        <v>32184</v>
      </c>
      <c r="D51" s="53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5" t="s">
        <v>138</v>
      </c>
      <c r="B52" s="53">
        <v>9.5</v>
      </c>
      <c r="C52" s="53">
        <f>B52*1000*9.737</f>
        <v>92501.5</v>
      </c>
      <c r="D52" s="53">
        <f>SUM(C51:C53)</f>
        <v>125275.5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5" t="s">
        <v>139</v>
      </c>
      <c r="B53" s="53">
        <v>0.1</v>
      </c>
      <c r="C53" s="53">
        <f>B53*1000*5.9</f>
        <v>590</v>
      </c>
      <c r="D53" s="53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ht="16" x14ac:dyDescent="0.2">
      <c r="A54" s="5" t="s">
        <v>140</v>
      </c>
      <c r="B54" s="53">
        <v>0.5</v>
      </c>
      <c r="C54" s="53">
        <f>B54*1000*9.95</f>
        <v>4975</v>
      </c>
      <c r="D54" s="53"/>
      <c r="E54" s="27"/>
      <c r="F54" s="27"/>
      <c r="G54" s="11"/>
      <c r="H54" s="53">
        <v>1925</v>
      </c>
      <c r="I54" s="53">
        <v>1821</v>
      </c>
      <c r="J54" s="53">
        <v>1814</v>
      </c>
      <c r="K54" s="73">
        <f>AVERAGE(H54:J54)</f>
        <v>1853.3333333333333</v>
      </c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ht="16" x14ac:dyDescent="0.2">
      <c r="A55" s="5" t="s">
        <v>141</v>
      </c>
      <c r="B55" s="53"/>
      <c r="C55" s="53">
        <f>B55*1000*9.95</f>
        <v>0</v>
      </c>
      <c r="D55" s="53">
        <f>SUM(C54:C56)</f>
        <v>4975</v>
      </c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8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ht="16" x14ac:dyDescent="0.2">
      <c r="A56" s="5" t="s">
        <v>142</v>
      </c>
      <c r="B56" s="53"/>
      <c r="C56" s="53">
        <f>B56*1000*10.6</f>
        <v>0</v>
      </c>
      <c r="D56" s="53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8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B57" s="53"/>
      <c r="C57" s="53">
        <f>SUM(C51:C56)</f>
        <v>130250.5</v>
      </c>
      <c r="D57" s="53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53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2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71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26*0.95</f>
        <v>24.7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6">
        <v>911713.98341176985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53">
        <v>7964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SUM(B4:B9)</f>
        <v>919702.6834117698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71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6">
        <f>39000+4300</f>
        <v>43300</v>
      </c>
      <c r="C18" s="53">
        <v>1383</v>
      </c>
      <c r="D18" s="53">
        <v>0</v>
      </c>
      <c r="E18" s="53">
        <v>0</v>
      </c>
      <c r="F18" s="53">
        <v>0</v>
      </c>
      <c r="G18" s="53">
        <v>49200</v>
      </c>
      <c r="H18" s="53">
        <v>0</v>
      </c>
      <c r="I18" s="53"/>
      <c r="J18" s="53"/>
      <c r="K18" s="53"/>
      <c r="L18" s="53"/>
      <c r="M18" s="53"/>
      <c r="N18" s="53"/>
      <c r="O18" s="53">
        <v>50583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300.32820000000004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6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107.3142</v>
      </c>
      <c r="U22" s="15">
        <f>N43</f>
        <v>0.35732308854113598</v>
      </c>
    </row>
    <row r="23" spans="1:21" ht="16" x14ac:dyDescent="0.2">
      <c r="A23" s="8" t="s">
        <v>17</v>
      </c>
      <c r="B23" s="53">
        <v>43300</v>
      </c>
      <c r="C23" s="53">
        <v>1383</v>
      </c>
      <c r="D23" s="53">
        <v>0</v>
      </c>
      <c r="E23" s="53">
        <v>0</v>
      </c>
      <c r="F23" s="53">
        <v>0</v>
      </c>
      <c r="G23" s="53">
        <v>49200</v>
      </c>
      <c r="H23" s="53">
        <v>0</v>
      </c>
      <c r="I23" s="53"/>
      <c r="J23" s="53"/>
      <c r="K23" s="53"/>
      <c r="L23" s="53"/>
      <c r="M23" s="53"/>
      <c r="N23" s="53"/>
      <c r="O23" s="53">
        <v>50583</v>
      </c>
      <c r="P23" s="3"/>
      <c r="Q23" s="3"/>
      <c r="R23" s="3"/>
      <c r="S23" s="48" t="s">
        <v>131</v>
      </c>
      <c r="T23" s="13">
        <f>G42/1000</f>
        <v>69.646000000000001</v>
      </c>
      <c r="U23" s="16">
        <f>G43</f>
        <v>0.23189963513249837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8.9830000000000005</v>
      </c>
      <c r="U25" s="15">
        <f>F43</f>
        <v>2.9910611124762843E-2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71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3488</v>
      </c>
      <c r="D31" s="53">
        <v>0</v>
      </c>
      <c r="E31" s="53">
        <v>0</v>
      </c>
      <c r="F31" s="53">
        <v>361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4396</v>
      </c>
      <c r="O31" s="53">
        <v>8246</v>
      </c>
      <c r="P31" s="17">
        <f>O31/O$39</f>
        <v>2.9675961247786719E-2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365</v>
      </c>
      <c r="C32" s="56">
        <v>456</v>
      </c>
      <c r="D32" s="53">
        <v>0</v>
      </c>
      <c r="E32" s="53">
        <v>0</v>
      </c>
      <c r="F32" s="53">
        <v>0</v>
      </c>
      <c r="G32" s="53">
        <v>226</v>
      </c>
      <c r="H32" s="53">
        <v>0</v>
      </c>
      <c r="I32" s="53"/>
      <c r="J32" s="53"/>
      <c r="K32" s="53"/>
      <c r="L32" s="53"/>
      <c r="M32" s="41"/>
      <c r="N32" s="56">
        <f>N39-N38-N37-N36-N35-N34-N33-N31</f>
        <v>16221</v>
      </c>
      <c r="O32" s="56">
        <f>SUM(B32:N32)</f>
        <v>17268</v>
      </c>
      <c r="P32" s="17">
        <f>O32/O$39</f>
        <v>6.2144615428908694E-2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7280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10951</v>
      </c>
      <c r="O33" s="53">
        <v>18231</v>
      </c>
      <c r="P33" s="17">
        <f>O33/O$39</f>
        <v>6.5610289777880151E-2</v>
      </c>
      <c r="Q33" s="18" t="s">
        <v>42</v>
      </c>
      <c r="R33" s="3"/>
      <c r="S33" s="48" t="s">
        <v>38</v>
      </c>
      <c r="T33" s="13">
        <f>C42/1000</f>
        <v>114.38500000000001</v>
      </c>
      <c r="U33" s="16">
        <f>C43</f>
        <v>0.38086666520160278</v>
      </c>
    </row>
    <row r="34" spans="1:48" ht="16" x14ac:dyDescent="0.2">
      <c r="A34" s="5" t="s">
        <v>43</v>
      </c>
      <c r="B34" s="53">
        <v>0</v>
      </c>
      <c r="C34" s="53">
        <v>103296</v>
      </c>
      <c r="D34" s="53">
        <v>0</v>
      </c>
      <c r="E34" s="53">
        <v>0</v>
      </c>
      <c r="F34" s="53">
        <v>8622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31</v>
      </c>
      <c r="O34" s="53">
        <v>111949</v>
      </c>
      <c r="P34" s="17">
        <f>O34/O$39</f>
        <v>0.40288554277570643</v>
      </c>
      <c r="Q34" s="18" t="s">
        <v>44</v>
      </c>
      <c r="R34" s="3"/>
      <c r="S34" s="3"/>
      <c r="T34" s="13">
        <f>SUM(T22:T33)</f>
        <v>300.32819999999998</v>
      </c>
      <c r="U34" s="15">
        <f>SUM(U22:U33)</f>
        <v>1</v>
      </c>
    </row>
    <row r="35" spans="1:48" ht="16" x14ac:dyDescent="0.2">
      <c r="A35" s="5" t="s">
        <v>45</v>
      </c>
      <c r="B35" s="53">
        <v>10900</v>
      </c>
      <c r="C35" s="53">
        <v>5575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20453</v>
      </c>
      <c r="O35" s="53">
        <v>36928</v>
      </c>
      <c r="P35" s="17">
        <f>O35/O$39</f>
        <v>0.1328976348482013</v>
      </c>
      <c r="Q35" s="18" t="s">
        <v>46</v>
      </c>
      <c r="R35" s="18"/>
    </row>
    <row r="36" spans="1:48" ht="16" x14ac:dyDescent="0.2">
      <c r="A36" s="5" t="s">
        <v>47</v>
      </c>
      <c r="B36" s="53">
        <v>4608</v>
      </c>
      <c r="C36" s="56">
        <v>187</v>
      </c>
      <c r="D36" s="53">
        <v>0</v>
      </c>
      <c r="E36" s="53">
        <v>0</v>
      </c>
      <c r="F36" s="53">
        <v>0</v>
      </c>
      <c r="G36" s="53">
        <v>20220</v>
      </c>
      <c r="H36" s="53">
        <v>0</v>
      </c>
      <c r="I36" s="53"/>
      <c r="J36" s="53"/>
      <c r="K36" s="53"/>
      <c r="L36" s="53"/>
      <c r="M36" s="41"/>
      <c r="N36" s="53">
        <v>28718</v>
      </c>
      <c r="O36" s="56">
        <f>SUM(B36:N36)</f>
        <v>53733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12918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3363</v>
      </c>
      <c r="O37" s="53">
        <v>16281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15232</v>
      </c>
      <c r="O38" s="53">
        <v>15232</v>
      </c>
      <c r="P38" s="18">
        <f>SUM(P31:P35)</f>
        <v>0.69321404407848319</v>
      </c>
      <c r="Q38" s="18"/>
      <c r="R38" s="3"/>
      <c r="S38" s="7" t="s">
        <v>50</v>
      </c>
      <c r="T38" s="19">
        <f>O45/1000</f>
        <v>15.1782</v>
      </c>
      <c r="U38" s="7"/>
    </row>
    <row r="39" spans="1:48" ht="16" x14ac:dyDescent="0.2">
      <c r="A39" s="5" t="s">
        <v>17</v>
      </c>
      <c r="B39" s="53">
        <v>36071</v>
      </c>
      <c r="C39" s="56">
        <f>SUM(C31:C38)</f>
        <v>113002</v>
      </c>
      <c r="D39" s="53">
        <v>0</v>
      </c>
      <c r="E39" s="53">
        <v>0</v>
      </c>
      <c r="F39" s="53">
        <v>8983</v>
      </c>
      <c r="G39" s="53">
        <v>20446</v>
      </c>
      <c r="H39" s="53">
        <v>0</v>
      </c>
      <c r="I39" s="53"/>
      <c r="J39" s="53"/>
      <c r="K39" s="53"/>
      <c r="L39" s="53"/>
      <c r="M39" s="41"/>
      <c r="N39" s="56">
        <v>99365</v>
      </c>
      <c r="O39" s="56">
        <f>SUM(O31:O38)</f>
        <v>277868</v>
      </c>
      <c r="P39" s="3"/>
      <c r="Q39" s="3"/>
      <c r="R39" s="3"/>
      <c r="S39" s="7" t="s">
        <v>51</v>
      </c>
      <c r="T39" s="20">
        <f>O41/1000</f>
        <v>85.245999999999995</v>
      </c>
      <c r="U39" s="15">
        <f>P41</f>
        <v>0.3067859559215167</v>
      </c>
    </row>
    <row r="40" spans="1:48" x14ac:dyDescent="0.2">
      <c r="S40" s="7" t="s">
        <v>52</v>
      </c>
      <c r="T40" s="20">
        <f>O35/1000</f>
        <v>36.927999999999997</v>
      </c>
      <c r="U40" s="16">
        <f>P35</f>
        <v>0.1328976348482013</v>
      </c>
    </row>
    <row r="41" spans="1:48" ht="16" x14ac:dyDescent="0.2">
      <c r="A41" s="21" t="s">
        <v>53</v>
      </c>
      <c r="B41" s="22">
        <f>B38+B37+B36</f>
        <v>17526</v>
      </c>
      <c r="C41" s="22">
        <f t="shared" ref="C41:O41" si="0">C38+C37+C36</f>
        <v>187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20220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47313</v>
      </c>
      <c r="O41" s="22">
        <f t="shared" si="0"/>
        <v>85246</v>
      </c>
      <c r="P41" s="17">
        <f>O41/O$39</f>
        <v>0.3067859559215167</v>
      </c>
      <c r="Q41" s="17" t="s">
        <v>54</v>
      </c>
      <c r="R41" s="7"/>
      <c r="S41" s="7" t="s">
        <v>55</v>
      </c>
      <c r="T41" s="20">
        <f>O33/1000</f>
        <v>18.231000000000002</v>
      </c>
      <c r="U41" s="15">
        <f>P33</f>
        <v>6.5610289777880151E-2</v>
      </c>
    </row>
    <row r="42" spans="1:48" ht="16" x14ac:dyDescent="0.2">
      <c r="A42" s="23" t="s">
        <v>56</v>
      </c>
      <c r="B42" s="22"/>
      <c r="C42" s="24">
        <f>C39+C23+C10</f>
        <v>114385</v>
      </c>
      <c r="D42" s="24">
        <f t="shared" ref="D42:L42" si="2">D39+D23+D10</f>
        <v>0</v>
      </c>
      <c r="E42" s="24">
        <f t="shared" si="2"/>
        <v>0</v>
      </c>
      <c r="F42" s="24">
        <f t="shared" si="2"/>
        <v>8983</v>
      </c>
      <c r="G42" s="24">
        <f t="shared" si="2"/>
        <v>69646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107314.2</v>
      </c>
      <c r="O42" s="25">
        <f>SUM(C42:N42)</f>
        <v>300328.2</v>
      </c>
      <c r="P42" s="7"/>
      <c r="Q42" s="7"/>
      <c r="R42" s="7"/>
      <c r="S42" s="7" t="s">
        <v>37</v>
      </c>
      <c r="T42" s="20">
        <f>O31/1000</f>
        <v>8.2460000000000004</v>
      </c>
      <c r="U42" s="15">
        <f>P31</f>
        <v>2.9675961247786719E-2</v>
      </c>
    </row>
    <row r="43" spans="1:48" ht="16" x14ac:dyDescent="0.2">
      <c r="A43" s="23" t="s">
        <v>57</v>
      </c>
      <c r="B43" s="22"/>
      <c r="C43" s="17">
        <f t="shared" ref="C43:N43" si="4">C42/$O42</f>
        <v>0.38086666520160278</v>
      </c>
      <c r="D43" s="17">
        <f t="shared" si="4"/>
        <v>0</v>
      </c>
      <c r="E43" s="17">
        <f t="shared" si="4"/>
        <v>0</v>
      </c>
      <c r="F43" s="17">
        <f t="shared" si="4"/>
        <v>2.9910611124762843E-2</v>
      </c>
      <c r="G43" s="17">
        <f t="shared" si="4"/>
        <v>0.23189963513249837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0.35732308854113598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17.268000000000001</v>
      </c>
      <c r="U43" s="16">
        <f>P32</f>
        <v>6.2144615428908694E-2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111.949</v>
      </c>
      <c r="U44" s="16">
        <f>P34</f>
        <v>0.40288554277570643</v>
      </c>
    </row>
    <row r="45" spans="1:48" ht="16" x14ac:dyDescent="0.2">
      <c r="A45" s="6" t="s">
        <v>60</v>
      </c>
      <c r="B45" s="6">
        <f>B23-B39</f>
        <v>7229</v>
      </c>
      <c r="C45" s="6"/>
      <c r="D45" s="6"/>
      <c r="E45" s="6"/>
      <c r="F45" s="6"/>
      <c r="G45" s="6">
        <v>21624</v>
      </c>
      <c r="H45" s="6"/>
      <c r="I45" s="6"/>
      <c r="J45" s="6"/>
      <c r="K45" s="6"/>
      <c r="L45" s="6"/>
      <c r="M45" s="6"/>
      <c r="N45" s="26">
        <f>N39*0.08</f>
        <v>7949.2</v>
      </c>
      <c r="O45" s="25">
        <f>B45+N45</f>
        <v>15178.2</v>
      </c>
      <c r="P45" s="7"/>
      <c r="Q45" s="7"/>
      <c r="R45" s="7"/>
      <c r="S45" s="7" t="s">
        <v>61</v>
      </c>
      <c r="T45" s="20">
        <f>SUM(T39:T44)</f>
        <v>277.86799999999999</v>
      </c>
      <c r="U45" s="15">
        <f>SUM(U39:U44)</f>
        <v>1</v>
      </c>
    </row>
    <row r="46" spans="1:48" ht="16" x14ac:dyDescent="0.2">
      <c r="A46" s="6"/>
      <c r="B46" s="60">
        <f>B45/B23</f>
        <v>0.16695150115473442</v>
      </c>
      <c r="C46" s="6"/>
      <c r="D46" s="6"/>
      <c r="E46" s="6"/>
      <c r="F46" s="6"/>
      <c r="G46" s="6">
        <f>O36-N36-G45-B36</f>
        <v>-1217</v>
      </c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9">
        <f>SUM(G45:G46)</f>
        <v>20407</v>
      </c>
      <c r="H47" s="9">
        <f>B36+G47+N36</f>
        <v>53733</v>
      </c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8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8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3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72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11*0.95</f>
        <v>10.45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6">
        <f>B10-B9-B4</f>
        <v>548763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65">
        <v>267420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816183+B4</f>
        <v>816193.45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72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6">
        <f>26026+4358</f>
        <v>30384</v>
      </c>
      <c r="C18" s="53">
        <v>166</v>
      </c>
      <c r="D18" s="53">
        <v>0</v>
      </c>
      <c r="E18" s="53">
        <v>0</v>
      </c>
      <c r="F18" s="53">
        <v>0</v>
      </c>
      <c r="G18" s="53">
        <v>34736</v>
      </c>
      <c r="H18" s="53">
        <v>0</v>
      </c>
      <c r="I18" s="53"/>
      <c r="J18" s="53"/>
      <c r="K18" s="53"/>
      <c r="L18" s="53"/>
      <c r="M18" s="53"/>
      <c r="N18" s="53"/>
      <c r="O18" s="53">
        <v>34903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157.75416000000001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6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35.993160000000003</v>
      </c>
      <c r="U22" s="15">
        <f>N43</f>
        <v>0.22815981524671047</v>
      </c>
    </row>
    <row r="23" spans="1:21" ht="16" x14ac:dyDescent="0.2">
      <c r="A23" s="8" t="s">
        <v>17</v>
      </c>
      <c r="B23" s="53">
        <v>30384</v>
      </c>
      <c r="C23" s="53">
        <v>166</v>
      </c>
      <c r="D23" s="53">
        <v>0</v>
      </c>
      <c r="E23" s="53">
        <v>0</v>
      </c>
      <c r="F23" s="53">
        <v>0</v>
      </c>
      <c r="G23" s="53">
        <v>34736</v>
      </c>
      <c r="H23" s="53">
        <v>0</v>
      </c>
      <c r="I23" s="53"/>
      <c r="J23" s="53"/>
      <c r="K23" s="53"/>
      <c r="L23" s="53"/>
      <c r="M23" s="53"/>
      <c r="N23" s="53"/>
      <c r="O23" s="53">
        <v>34903</v>
      </c>
      <c r="P23" s="3"/>
      <c r="Q23" s="3"/>
      <c r="R23" s="3"/>
      <c r="S23" s="48" t="s">
        <v>131</v>
      </c>
      <c r="T23" s="13">
        <f>G42/1000</f>
        <v>45.18</v>
      </c>
      <c r="U23" s="16">
        <f>G43</f>
        <v>0.28639498318142609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4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5.9939999999999998</v>
      </c>
      <c r="U25" s="15">
        <f>F43</f>
        <v>3.7995828445982024E-2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72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3959</v>
      </c>
      <c r="D31" s="53">
        <v>0</v>
      </c>
      <c r="E31" s="53">
        <v>0</v>
      </c>
      <c r="F31" s="53">
        <v>410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1582</v>
      </c>
      <c r="O31" s="53">
        <v>5951</v>
      </c>
      <c r="P31" s="17">
        <f>O31/O$39</f>
        <v>4.117797659823276E-2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3648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/>
      <c r="J32" s="53"/>
      <c r="K32" s="53"/>
      <c r="L32" s="53"/>
      <c r="M32" s="41"/>
      <c r="N32" s="53">
        <v>2845</v>
      </c>
      <c r="O32" s="53">
        <v>6493</v>
      </c>
      <c r="P32" s="17">
        <f>O32/O$39</f>
        <v>4.4928348521647669E-2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4553</v>
      </c>
      <c r="C33" s="53">
        <v>60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3452</v>
      </c>
      <c r="O33" s="53">
        <v>8065</v>
      </c>
      <c r="P33" s="17">
        <f>O33/O$39</f>
        <v>5.5805811000629674E-2</v>
      </c>
      <c r="Q33" s="18" t="s">
        <v>42</v>
      </c>
      <c r="R33" s="3"/>
      <c r="S33" s="48" t="s">
        <v>38</v>
      </c>
      <c r="T33" s="13">
        <f>C42/1000</f>
        <v>70.587000000000003</v>
      </c>
      <c r="U33" s="16">
        <f>C43</f>
        <v>0.4474493731258814</v>
      </c>
    </row>
    <row r="34" spans="1:48" ht="16" x14ac:dyDescent="0.2">
      <c r="A34" s="5" t="s">
        <v>43</v>
      </c>
      <c r="B34" s="53">
        <v>0</v>
      </c>
      <c r="C34" s="53">
        <v>64351</v>
      </c>
      <c r="D34" s="53">
        <v>0</v>
      </c>
      <c r="E34" s="53">
        <v>0</v>
      </c>
      <c r="F34" s="53">
        <v>5585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0</v>
      </c>
      <c r="O34" s="53">
        <v>69936</v>
      </c>
      <c r="P34" s="17">
        <f>O34/O$39</f>
        <v>0.48392252921761153</v>
      </c>
      <c r="Q34" s="18" t="s">
        <v>44</v>
      </c>
      <c r="R34" s="3"/>
      <c r="S34" s="3"/>
      <c r="T34" s="13">
        <f>SUM(T22:T33)</f>
        <v>157.75416000000001</v>
      </c>
      <c r="U34" s="15">
        <f>SUM(U22:U33)</f>
        <v>1</v>
      </c>
    </row>
    <row r="35" spans="1:48" ht="16" x14ac:dyDescent="0.2">
      <c r="A35" s="5" t="s">
        <v>45</v>
      </c>
      <c r="B35" s="53">
        <v>2630</v>
      </c>
      <c r="C35" s="53">
        <v>1973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8100</v>
      </c>
      <c r="O35" s="53">
        <v>12703</v>
      </c>
      <c r="P35" s="17">
        <f>O35/O$39</f>
        <v>8.7898477016862833E-2</v>
      </c>
      <c r="Q35" s="18" t="s">
        <v>46</v>
      </c>
      <c r="R35" s="18"/>
    </row>
    <row r="36" spans="1:48" ht="16" x14ac:dyDescent="0.2">
      <c r="A36" s="5" t="s">
        <v>47</v>
      </c>
      <c r="B36" s="53">
        <v>7164</v>
      </c>
      <c r="C36" s="56">
        <v>78</v>
      </c>
      <c r="D36" s="53">
        <v>0</v>
      </c>
      <c r="E36" s="53">
        <v>0</v>
      </c>
      <c r="F36" s="53">
        <v>0</v>
      </c>
      <c r="G36" s="53">
        <v>10444</v>
      </c>
      <c r="H36" s="53">
        <v>0</v>
      </c>
      <c r="I36" s="53"/>
      <c r="J36" s="53"/>
      <c r="K36" s="53"/>
      <c r="L36" s="53"/>
      <c r="M36" s="41"/>
      <c r="N36" s="53">
        <v>13296</v>
      </c>
      <c r="O36" s="56">
        <f>SUM(B36:N36)</f>
        <v>30982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6336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1425</v>
      </c>
      <c r="O37" s="53">
        <v>7761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2628</v>
      </c>
      <c r="O38" s="53">
        <v>2628</v>
      </c>
      <c r="P38" s="18">
        <f>SUM(P31:P35)</f>
        <v>0.71373314235498442</v>
      </c>
      <c r="Q38" s="18"/>
      <c r="R38" s="3"/>
      <c r="S38" s="7" t="s">
        <v>50</v>
      </c>
      <c r="T38" s="19">
        <f>O45/1000</f>
        <v>8.7191600000000005</v>
      </c>
      <c r="U38" s="7"/>
    </row>
    <row r="39" spans="1:48" ht="16" x14ac:dyDescent="0.2">
      <c r="A39" s="5" t="s">
        <v>17</v>
      </c>
      <c r="B39" s="53">
        <v>24331</v>
      </c>
      <c r="C39" s="56">
        <f>SUM(C31:C38)</f>
        <v>70421</v>
      </c>
      <c r="D39" s="53">
        <v>0</v>
      </c>
      <c r="E39" s="53">
        <v>0</v>
      </c>
      <c r="F39" s="53">
        <v>5994</v>
      </c>
      <c r="G39" s="53">
        <v>10444</v>
      </c>
      <c r="H39" s="53">
        <v>0</v>
      </c>
      <c r="I39" s="53"/>
      <c r="J39" s="53"/>
      <c r="K39" s="53"/>
      <c r="L39" s="53"/>
      <c r="M39" s="41"/>
      <c r="N39" s="53">
        <v>33327</v>
      </c>
      <c r="O39" s="56">
        <f>SUM(O31:O38)</f>
        <v>144519</v>
      </c>
      <c r="P39" s="3"/>
      <c r="Q39" s="3"/>
      <c r="R39" s="3"/>
      <c r="S39" s="7" t="s">
        <v>51</v>
      </c>
      <c r="T39" s="20">
        <f>O41/1000</f>
        <v>41.371000000000002</v>
      </c>
      <c r="U39" s="15">
        <f>P41</f>
        <v>0.28626685764501553</v>
      </c>
    </row>
    <row r="40" spans="1:48" x14ac:dyDescent="0.2">
      <c r="S40" s="7" t="s">
        <v>52</v>
      </c>
      <c r="T40" s="20">
        <f>O35/1000</f>
        <v>12.702999999999999</v>
      </c>
      <c r="U40" s="16">
        <f>P35</f>
        <v>8.7898477016862833E-2</v>
      </c>
    </row>
    <row r="41" spans="1:48" ht="16" x14ac:dyDescent="0.2">
      <c r="A41" s="21" t="s">
        <v>53</v>
      </c>
      <c r="B41" s="22">
        <f>B38+B37+B36</f>
        <v>13500</v>
      </c>
      <c r="C41" s="22">
        <f t="shared" ref="C41:O41" si="0">C38+C37+C36</f>
        <v>78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10444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17349</v>
      </c>
      <c r="O41" s="22">
        <f t="shared" si="0"/>
        <v>41371</v>
      </c>
      <c r="P41" s="17">
        <f>O41/O$39</f>
        <v>0.28626685764501553</v>
      </c>
      <c r="Q41" s="17" t="s">
        <v>54</v>
      </c>
      <c r="R41" s="7"/>
      <c r="S41" s="7" t="s">
        <v>55</v>
      </c>
      <c r="T41" s="20">
        <f>O33/1000</f>
        <v>8.0649999999999995</v>
      </c>
      <c r="U41" s="15">
        <f>P33</f>
        <v>5.5805811000629674E-2</v>
      </c>
    </row>
    <row r="42" spans="1:48" ht="16" x14ac:dyDescent="0.2">
      <c r="A42" s="23" t="s">
        <v>56</v>
      </c>
      <c r="B42" s="22"/>
      <c r="C42" s="24">
        <f>C39+C23+C10</f>
        <v>70587</v>
      </c>
      <c r="D42" s="24">
        <f t="shared" ref="D42:L42" si="2">D39+D23+D10</f>
        <v>0</v>
      </c>
      <c r="E42" s="24">
        <f t="shared" si="2"/>
        <v>0</v>
      </c>
      <c r="F42" s="24">
        <f t="shared" si="2"/>
        <v>5994</v>
      </c>
      <c r="G42" s="24">
        <f t="shared" si="2"/>
        <v>45180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35993.160000000003</v>
      </c>
      <c r="O42" s="25">
        <f>SUM(C42:N42)</f>
        <v>157754.16</v>
      </c>
      <c r="P42" s="7"/>
      <c r="Q42" s="7"/>
      <c r="R42" s="7"/>
      <c r="S42" s="7" t="s">
        <v>37</v>
      </c>
      <c r="T42" s="20">
        <f>O31/1000</f>
        <v>5.9509999999999996</v>
      </c>
      <c r="U42" s="15">
        <f>P31</f>
        <v>4.117797659823276E-2</v>
      </c>
    </row>
    <row r="43" spans="1:48" ht="16" x14ac:dyDescent="0.2">
      <c r="A43" s="23" t="s">
        <v>57</v>
      </c>
      <c r="B43" s="22"/>
      <c r="C43" s="17">
        <f t="shared" ref="C43:N43" si="4">C42/$O42</f>
        <v>0.4474493731258814</v>
      </c>
      <c r="D43" s="17">
        <f t="shared" si="4"/>
        <v>0</v>
      </c>
      <c r="E43" s="17">
        <f t="shared" si="4"/>
        <v>0</v>
      </c>
      <c r="F43" s="17">
        <f t="shared" si="4"/>
        <v>3.7995828445982024E-2</v>
      </c>
      <c r="G43" s="17">
        <f t="shared" si="4"/>
        <v>0.28639498318142609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0.22815981524671047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6.4930000000000003</v>
      </c>
      <c r="U43" s="16">
        <f>P32</f>
        <v>4.4928348521647669E-2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69.936000000000007</v>
      </c>
      <c r="U44" s="16">
        <f>P34</f>
        <v>0.48392252921761153</v>
      </c>
    </row>
    <row r="45" spans="1:48" ht="16" x14ac:dyDescent="0.2">
      <c r="A45" s="6" t="s">
        <v>60</v>
      </c>
      <c r="B45" s="6">
        <f>B23-B39</f>
        <v>6053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2666.16</v>
      </c>
      <c r="O45" s="25">
        <f>B45+N45</f>
        <v>8719.16</v>
      </c>
      <c r="P45" s="7"/>
      <c r="Q45" s="7"/>
      <c r="R45" s="7"/>
      <c r="S45" s="7" t="s">
        <v>61</v>
      </c>
      <c r="T45" s="20">
        <f>SUM(T39:T44)</f>
        <v>144.51900000000001</v>
      </c>
      <c r="U45" s="15">
        <f>SUM(U39:U44)</f>
        <v>1</v>
      </c>
    </row>
    <row r="46" spans="1:48" ht="16" x14ac:dyDescent="0.2">
      <c r="A46" s="6"/>
      <c r="B46" s="60">
        <f>B45/B23</f>
        <v>0.19921669299631384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8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horizontalDpi="4294967292" verticalDpi="4294967292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4" enableFormatConditionsCalculation="0"/>
  <dimension ref="A1:AV102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4" width="9.1640625" style="2" customWidth="1"/>
    <col min="5" max="5" width="8.6640625" style="2"/>
    <col min="6" max="6" width="9.83203125" style="2" customWidth="1"/>
    <col min="7" max="7" width="15.5" style="2" customWidth="1"/>
    <col min="8" max="11" width="8.6640625" style="2"/>
    <col min="12" max="12" width="9.1640625" style="2" customWidth="1"/>
    <col min="13" max="13" width="10.5" style="2" customWidth="1"/>
    <col min="14" max="14" width="10.1640625" style="2" customWidth="1"/>
    <col min="15" max="15" width="10.33203125" style="2" customWidth="1"/>
    <col min="16" max="16" width="8.6640625" style="2"/>
    <col min="17" max="17" width="10.5" style="2" customWidth="1"/>
    <col min="18" max="18" width="9.83203125" style="2" customWidth="1"/>
    <col min="19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73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464*0.95</f>
        <v>440.79999999999995</v>
      </c>
      <c r="C4" s="9"/>
      <c r="D4" s="11"/>
      <c r="P4" s="3"/>
      <c r="Q4" s="3"/>
      <c r="R4" s="3"/>
      <c r="S4" s="3"/>
      <c r="T4" s="3"/>
      <c r="U4" s="3"/>
    </row>
    <row r="5" spans="1:21" ht="16" x14ac:dyDescent="0.2">
      <c r="A5" s="5"/>
      <c r="C5" s="41"/>
      <c r="D5" s="41"/>
      <c r="E5" s="41"/>
      <c r="F5" s="41"/>
      <c r="H5" s="75"/>
      <c r="I5" s="75"/>
      <c r="J5" s="75"/>
      <c r="L5" s="75"/>
      <c r="M5" s="75"/>
      <c r="N5" s="7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62">
        <v>213300</v>
      </c>
      <c r="C6" s="53">
        <v>0</v>
      </c>
      <c r="D6" s="56">
        <v>0</v>
      </c>
      <c r="E6" s="53">
        <v>0</v>
      </c>
      <c r="F6" s="56">
        <v>0</v>
      </c>
      <c r="G6" s="56">
        <v>0</v>
      </c>
      <c r="H6" s="53">
        <v>0</v>
      </c>
      <c r="I6" s="53"/>
      <c r="J6" s="53"/>
      <c r="K6" s="56">
        <v>0</v>
      </c>
      <c r="L6" s="53"/>
      <c r="M6" s="53"/>
      <c r="N6" s="53"/>
      <c r="O6" s="56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6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6">
        <f>B10-B9-B6-B4</f>
        <v>2670204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6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65">
        <v>89140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6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3097458-124814+B4</f>
        <v>2973084.8</v>
      </c>
      <c r="C10" s="53">
        <v>0</v>
      </c>
      <c r="D10" s="56">
        <f>SUM(D6:D9)</f>
        <v>0</v>
      </c>
      <c r="E10" s="53">
        <v>0</v>
      </c>
      <c r="F10" s="56">
        <f>SUM(F6:F9)</f>
        <v>0</v>
      </c>
      <c r="G10" s="56">
        <f>SUM(G6:G9)</f>
        <v>0</v>
      </c>
      <c r="H10" s="53">
        <v>0</v>
      </c>
      <c r="I10" s="53"/>
      <c r="J10" s="53"/>
      <c r="K10" s="56">
        <f>SUM(K6:K9)</f>
        <v>0</v>
      </c>
      <c r="L10" s="53"/>
      <c r="M10" s="53"/>
      <c r="N10" s="53"/>
      <c r="O10" s="56">
        <f>SUM(O6:O9)</f>
        <v>0</v>
      </c>
      <c r="P10" s="3"/>
      <c r="Q10" s="3"/>
      <c r="R10" s="3"/>
      <c r="S10" s="56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73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41"/>
      <c r="D16" s="41"/>
      <c r="E16" s="41"/>
      <c r="F16" s="41"/>
      <c r="G16" s="4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65">
        <f>613719+4615+53825+160557*614719/(614719+98330)</f>
        <v>810575.06745539233</v>
      </c>
      <c r="C17" s="65">
        <f>27795*613719/(98330+613719)</f>
        <v>23956.665348873463</v>
      </c>
      <c r="D17" s="53">
        <v>0</v>
      </c>
      <c r="E17" s="53">
        <v>0</v>
      </c>
      <c r="F17" s="53">
        <v>0</v>
      </c>
      <c r="G17" s="65">
        <f>548073*613719/(98330+613719)+135521</f>
        <v>607908.17207242758</v>
      </c>
      <c r="H17" s="53">
        <v>0</v>
      </c>
      <c r="I17" s="53"/>
      <c r="J17" s="53"/>
      <c r="K17" s="65">
        <f>357251*613719/(98330+613719)+90239</f>
        <v>398155.62718296074</v>
      </c>
      <c r="L17" s="53"/>
      <c r="M17" s="53"/>
      <c r="N17" s="65">
        <f>4615*1.015+53825*0.33</f>
        <v>22446.474999999999</v>
      </c>
      <c r="O17" s="65">
        <f>SUM(C17:N17)</f>
        <v>1052466.9396042619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65">
        <f>98330+160557*98330/(614719+98330)</f>
        <v>120470.93254460773</v>
      </c>
      <c r="C18" s="65">
        <f>27795*98330/(98330+613719)</f>
        <v>3838.3346511265377</v>
      </c>
      <c r="D18" s="56">
        <v>0</v>
      </c>
      <c r="E18" s="53">
        <v>0</v>
      </c>
      <c r="F18" s="53">
        <v>0</v>
      </c>
      <c r="G18" s="65">
        <f>548073*98330/(98330+613719)</f>
        <v>75685.827927572405</v>
      </c>
      <c r="H18" s="53">
        <v>0</v>
      </c>
      <c r="I18" s="53"/>
      <c r="J18" s="53"/>
      <c r="K18" s="65">
        <f>357251*98330/(98330+613719)</f>
        <v>49334.372817039279</v>
      </c>
      <c r="L18" s="53"/>
      <c r="M18" s="53"/>
      <c r="O18" s="65">
        <f>SUM(C18:N18)</f>
        <v>128858.53539573823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6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5008.1908650000005</v>
      </c>
      <c r="U19" s="3"/>
    </row>
    <row r="20" spans="1:21" ht="16" x14ac:dyDescent="0.2">
      <c r="A20" s="8" t="s">
        <v>24</v>
      </c>
      <c r="B20" s="56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40"/>
      <c r="Q20" s="3"/>
      <c r="R20" s="3"/>
      <c r="S20" s="3"/>
      <c r="T20" s="3"/>
      <c r="U20" s="3"/>
    </row>
    <row r="21" spans="1:21" ht="16" x14ac:dyDescent="0.2">
      <c r="A21" s="8" t="s">
        <v>25</v>
      </c>
      <c r="B21" s="62">
        <v>9298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6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1377.131515</v>
      </c>
      <c r="U22" s="15">
        <f>N43</f>
        <v>0.27497584499507688</v>
      </c>
    </row>
    <row r="23" spans="1:21" ht="16" x14ac:dyDescent="0.2">
      <c r="A23" s="8" t="s">
        <v>17</v>
      </c>
      <c r="B23" s="65">
        <f>SUM(B17:B22)</f>
        <v>940344</v>
      </c>
      <c r="C23" s="62">
        <f>SUM(C17:C22)</f>
        <v>27795</v>
      </c>
      <c r="D23" s="56">
        <f>SUM(D17:D22)</f>
        <v>0</v>
      </c>
      <c r="E23" s="53">
        <v>0</v>
      </c>
      <c r="F23" s="53">
        <v>0</v>
      </c>
      <c r="G23" s="65">
        <f>SUM(G17:G22)</f>
        <v>683594</v>
      </c>
      <c r="H23" s="53">
        <v>0</v>
      </c>
      <c r="I23" s="53"/>
      <c r="J23" s="53"/>
      <c r="K23" s="65">
        <f>SUM(K17:K22)</f>
        <v>447490</v>
      </c>
      <c r="L23" s="53"/>
      <c r="M23" s="53"/>
      <c r="N23" s="65">
        <f>SUM(N17:N22)</f>
        <v>22446.474999999999</v>
      </c>
      <c r="O23" s="65">
        <f>SUM(O17:O22)</f>
        <v>1181325.4750000001</v>
      </c>
      <c r="P23" s="3"/>
      <c r="Q23" s="3"/>
      <c r="R23" s="3"/>
      <c r="S23" s="48" t="s">
        <v>131</v>
      </c>
      <c r="T23" s="13">
        <f>G42/1000</f>
        <v>1123.8399999999999</v>
      </c>
      <c r="U23" s="16">
        <f>G43</f>
        <v>0.22440039333445011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84.183349999999976</v>
      </c>
      <c r="U25" s="15">
        <f>F43</f>
        <v>1.6809133730968533E-2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17.643000000000001</v>
      </c>
      <c r="U26" s="15">
        <f>E43</f>
        <v>3.5228289966540639E-3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73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447.49</v>
      </c>
      <c r="U28" s="54">
        <f>K43</f>
        <v>8.9351626577834103E-2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92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820.71900000000005</v>
      </c>
      <c r="U29" s="15">
        <f>I43</f>
        <v>0.16387534383636154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16065</v>
      </c>
      <c r="D31" s="53">
        <v>0</v>
      </c>
      <c r="E31" s="53">
        <v>0</v>
      </c>
      <c r="F31" s="53">
        <v>1657</v>
      </c>
      <c r="G31" s="53">
        <v>0</v>
      </c>
      <c r="H31" s="53">
        <v>0</v>
      </c>
      <c r="I31" s="53"/>
      <c r="J31" s="53"/>
      <c r="K31" s="53"/>
      <c r="L31" s="53"/>
      <c r="M31" s="41"/>
      <c r="N31" s="56">
        <v>9780</v>
      </c>
      <c r="O31" s="56">
        <f>SUM(B31:N31)</f>
        <v>27502</v>
      </c>
      <c r="P31" s="17">
        <f>O31/O$39</f>
        <v>5.8154176868458266E-3</v>
      </c>
      <c r="Q31" s="18" t="s">
        <v>37</v>
      </c>
      <c r="R31" s="40"/>
      <c r="S31" s="58" t="str">
        <f>L29</f>
        <v>Beckolja</v>
      </c>
      <c r="T31" s="13">
        <f>L42/1000</f>
        <v>7.3470000000000004</v>
      </c>
      <c r="U31" s="54">
        <f>L43</f>
        <v>1.4669968054422382E-3</v>
      </c>
    </row>
    <row r="32" spans="1:21" ht="16" x14ac:dyDescent="0.2">
      <c r="A32" s="5" t="s">
        <v>39</v>
      </c>
      <c r="B32" s="53">
        <v>29710</v>
      </c>
      <c r="C32" s="56">
        <v>91912</v>
      </c>
      <c r="D32" s="53">
        <v>0</v>
      </c>
      <c r="E32" s="56">
        <f>17643</f>
        <v>17643</v>
      </c>
      <c r="F32" s="56">
        <v>800</v>
      </c>
      <c r="G32" s="56">
        <f>G39-G36</f>
        <v>347646</v>
      </c>
      <c r="H32" s="56">
        <v>0</v>
      </c>
      <c r="I32" s="71">
        <v>820719</v>
      </c>
      <c r="J32" s="53"/>
      <c r="K32" s="53"/>
      <c r="L32" s="71">
        <v>7347</v>
      </c>
      <c r="M32" s="71">
        <f>2706+9787+28040</f>
        <v>40533</v>
      </c>
      <c r="N32" s="56">
        <f>O32-M32-L32-I32-G32-F32-E32-C32-B32</f>
        <v>538177</v>
      </c>
      <c r="O32" s="56">
        <f>1865340-124814+(435918-225760-56197)</f>
        <v>1894487</v>
      </c>
      <c r="P32" s="17">
        <f>O32/O$39</f>
        <v>0.40059752771796558</v>
      </c>
      <c r="Q32" s="18" t="s">
        <v>40</v>
      </c>
      <c r="R32" s="40"/>
      <c r="S32" s="58" t="str">
        <f>M29</f>
        <v>Övrigt</v>
      </c>
      <c r="T32" s="59">
        <f>M42</f>
        <v>40533</v>
      </c>
      <c r="U32" s="54">
        <f>M43</f>
        <v>8.0933417061372324E-3</v>
      </c>
    </row>
    <row r="33" spans="1:48" ht="16" x14ac:dyDescent="0.2">
      <c r="A33" s="5" t="s">
        <v>41</v>
      </c>
      <c r="B33" s="53">
        <v>163218</v>
      </c>
      <c r="C33" s="53">
        <v>2676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6">
        <f>(458908+56197)*80282/(80282+415696)</f>
        <v>83378.011948110609</v>
      </c>
      <c r="O33" s="56">
        <f>SUM(B33:N33)</f>
        <v>249272.01194811059</v>
      </c>
      <c r="P33" s="17">
        <f>O33/O$39</f>
        <v>5.2709652647759675E-2</v>
      </c>
      <c r="Q33" s="18" t="s">
        <v>42</v>
      </c>
      <c r="R33" s="40"/>
      <c r="S33" s="48" t="s">
        <v>38</v>
      </c>
      <c r="T33" s="13">
        <f>C42/1000</f>
        <v>1089.3040000000001</v>
      </c>
      <c r="U33" s="16">
        <f>C43</f>
        <v>0.21750449001707525</v>
      </c>
    </row>
    <row r="34" spans="1:48" ht="16" x14ac:dyDescent="0.2">
      <c r="A34" s="5" t="s">
        <v>43</v>
      </c>
      <c r="B34" s="53">
        <v>0</v>
      </c>
      <c r="C34" s="53">
        <v>926393</v>
      </c>
      <c r="D34" s="53">
        <v>0</v>
      </c>
      <c r="E34" s="53">
        <v>0</v>
      </c>
      <c r="F34" s="56">
        <f>O34-N34-C34</f>
        <v>81726.349999999977</v>
      </c>
      <c r="G34" s="53">
        <v>0</v>
      </c>
      <c r="H34" s="53">
        <v>0</v>
      </c>
      <c r="I34" s="53"/>
      <c r="J34" s="53"/>
      <c r="K34" s="53"/>
      <c r="L34" s="53"/>
      <c r="M34" s="41"/>
      <c r="N34" s="56">
        <v>4984.6499999999996</v>
      </c>
      <c r="O34" s="53">
        <v>1013104</v>
      </c>
      <c r="P34" s="17">
        <f>O34/O$39</f>
        <v>0.21422525344390422</v>
      </c>
      <c r="Q34" s="18" t="s">
        <v>44</v>
      </c>
      <c r="R34" s="40"/>
      <c r="S34" s="3"/>
      <c r="T34" s="13">
        <f>SUM(T22:T33)</f>
        <v>45500.657865000001</v>
      </c>
      <c r="U34" s="15">
        <f>SUM(U22:U33)</f>
        <v>1</v>
      </c>
    </row>
    <row r="35" spans="1:48" ht="16" x14ac:dyDescent="0.2">
      <c r="A35" s="5" t="s">
        <v>45</v>
      </c>
      <c r="B35" s="53">
        <v>135747</v>
      </c>
      <c r="C35" s="56">
        <v>21150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6">
        <f>(458908+56197)*415696/(80282+415696)</f>
        <v>431726.98805188941</v>
      </c>
      <c r="O35" s="56">
        <f>SUM(B35:N35)</f>
        <v>588623.98805188946</v>
      </c>
      <c r="P35" s="17">
        <f>O35/O$39</f>
        <v>0.12446710606569283</v>
      </c>
      <c r="Q35" s="18" t="s">
        <v>46</v>
      </c>
      <c r="R35" s="40"/>
    </row>
    <row r="36" spans="1:48" ht="16" x14ac:dyDescent="0.2">
      <c r="A36" s="5" t="s">
        <v>47</v>
      </c>
      <c r="B36" s="53">
        <v>128599</v>
      </c>
      <c r="C36" s="56">
        <v>3313</v>
      </c>
      <c r="D36" s="53">
        <v>0</v>
      </c>
      <c r="E36" s="53">
        <v>0</v>
      </c>
      <c r="F36" s="53">
        <v>0</v>
      </c>
      <c r="G36" s="56">
        <v>92600</v>
      </c>
      <c r="H36" s="53">
        <v>0</v>
      </c>
      <c r="I36" s="53"/>
      <c r="J36" s="53"/>
      <c r="K36" s="53"/>
      <c r="L36" s="53"/>
      <c r="M36" s="41"/>
      <c r="N36" s="56">
        <v>275632</v>
      </c>
      <c r="O36" s="56">
        <f>SUM(B36:N36)</f>
        <v>500144</v>
      </c>
      <c r="P36" s="18"/>
      <c r="Q36" s="18"/>
      <c r="R36" s="40"/>
      <c r="S36" s="7"/>
      <c r="T36" s="7"/>
      <c r="U36" s="7"/>
    </row>
    <row r="37" spans="1:48" ht="16" x14ac:dyDescent="0.2">
      <c r="A37" s="5" t="s">
        <v>48</v>
      </c>
      <c r="B37" s="53">
        <v>347860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6">
        <v>86083</v>
      </c>
      <c r="O37" s="56">
        <f>SUM(B37:N37)</f>
        <v>433943</v>
      </c>
      <c r="P37" s="18"/>
      <c r="Q37" s="18"/>
      <c r="R37" s="40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6">
        <v>22077</v>
      </c>
      <c r="O38" s="56">
        <f>SUM(B38:N38)</f>
        <v>22077</v>
      </c>
      <c r="P38" s="18">
        <f>SUM(P31:P35)</f>
        <v>0.79781495756216825</v>
      </c>
      <c r="Q38" s="18"/>
      <c r="R38" s="40"/>
      <c r="S38" s="7" t="s">
        <v>50</v>
      </c>
      <c r="T38" s="19">
        <f>O45/1000</f>
        <v>251.35704000000001</v>
      </c>
      <c r="U38" s="7"/>
    </row>
    <row r="39" spans="1:48" ht="16" x14ac:dyDescent="0.2">
      <c r="A39" s="5" t="s">
        <v>17</v>
      </c>
      <c r="B39" s="53">
        <v>805134</v>
      </c>
      <c r="C39" s="56">
        <f>SUM(C31:C38)</f>
        <v>1061509</v>
      </c>
      <c r="D39" s="53">
        <v>0</v>
      </c>
      <c r="E39" s="56">
        <f>SUM(E31:E38)</f>
        <v>17643</v>
      </c>
      <c r="F39" s="56">
        <f>SUM(F31:F38)</f>
        <v>84183.349999999977</v>
      </c>
      <c r="G39" s="63">
        <v>440246</v>
      </c>
      <c r="H39" s="56">
        <v>0</v>
      </c>
      <c r="I39" s="71">
        <f>SUM(I32:I38)</f>
        <v>820719</v>
      </c>
      <c r="J39" s="63"/>
      <c r="K39" s="63"/>
      <c r="L39" s="71">
        <f>SUM(L32:L38)</f>
        <v>7347</v>
      </c>
      <c r="M39" s="71">
        <f>SUM(M32:M38)</f>
        <v>40533</v>
      </c>
      <c r="N39" s="56">
        <f>1576652-124814</f>
        <v>1451838</v>
      </c>
      <c r="O39" s="56">
        <f>SUM(O31:O38)</f>
        <v>4729153</v>
      </c>
      <c r="P39" s="3"/>
      <c r="Q39" s="3"/>
      <c r="R39" s="3"/>
      <c r="S39" s="7" t="s">
        <v>51</v>
      </c>
      <c r="T39" s="20">
        <f>O41/1000</f>
        <v>956.16399999999999</v>
      </c>
      <c r="U39" s="15">
        <f>P41</f>
        <v>0.20218504243783189</v>
      </c>
    </row>
    <row r="40" spans="1:48" x14ac:dyDescent="0.2">
      <c r="N40" s="11"/>
      <c r="O40" s="11"/>
      <c r="S40" s="7" t="s">
        <v>52</v>
      </c>
      <c r="T40" s="20">
        <f>O35/1000</f>
        <v>588.62398805188946</v>
      </c>
      <c r="U40" s="16">
        <f>P35</f>
        <v>0.12446710606569283</v>
      </c>
    </row>
    <row r="41" spans="1:48" ht="16" x14ac:dyDescent="0.2">
      <c r="A41" s="21" t="s">
        <v>53</v>
      </c>
      <c r="B41" s="22">
        <f>B38+B37+B36</f>
        <v>476459</v>
      </c>
      <c r="C41" s="22">
        <f t="shared" ref="C41:O41" si="0">C38+C37+C36</f>
        <v>3313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92600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383792</v>
      </c>
      <c r="O41" s="22">
        <f t="shared" si="0"/>
        <v>956164</v>
      </c>
      <c r="P41" s="17">
        <f>O41/O$39</f>
        <v>0.20218504243783189</v>
      </c>
      <c r="Q41" s="17" t="s">
        <v>54</v>
      </c>
      <c r="R41" s="7"/>
      <c r="S41" s="7" t="s">
        <v>55</v>
      </c>
      <c r="T41" s="20">
        <f>O33/1000</f>
        <v>249.27201194811059</v>
      </c>
      <c r="U41" s="15">
        <f>P33</f>
        <v>5.2709652647759675E-2</v>
      </c>
    </row>
    <row r="42" spans="1:48" ht="16" x14ac:dyDescent="0.2">
      <c r="A42" s="23" t="s">
        <v>56</v>
      </c>
      <c r="B42" s="22"/>
      <c r="C42" s="24">
        <f>C39+C23+C10</f>
        <v>1089304</v>
      </c>
      <c r="D42" s="24">
        <f t="shared" ref="D42:L42" si="2">D39+D23+D10</f>
        <v>0</v>
      </c>
      <c r="E42" s="24">
        <f t="shared" si="2"/>
        <v>17643</v>
      </c>
      <c r="F42" s="24">
        <f t="shared" si="2"/>
        <v>84183.349999999977</v>
      </c>
      <c r="G42" s="24">
        <f t="shared" si="2"/>
        <v>1123840</v>
      </c>
      <c r="H42" s="24">
        <f t="shared" si="2"/>
        <v>0</v>
      </c>
      <c r="I42" s="24">
        <f t="shared" si="2"/>
        <v>820719</v>
      </c>
      <c r="J42" s="24">
        <f t="shared" si="2"/>
        <v>0</v>
      </c>
      <c r="K42" s="24">
        <f t="shared" si="2"/>
        <v>447490</v>
      </c>
      <c r="L42" s="24">
        <f t="shared" si="2"/>
        <v>7347</v>
      </c>
      <c r="M42" s="24">
        <f t="shared" ref="M42" si="3">M39+M23+M10</f>
        <v>40533</v>
      </c>
      <c r="N42" s="24">
        <f>N39+N23-B6+N45</f>
        <v>1377131.5150000001</v>
      </c>
      <c r="O42" s="25">
        <f>SUM(C42:N42)</f>
        <v>5008190.8650000002</v>
      </c>
      <c r="P42" s="7"/>
      <c r="Q42" s="7"/>
      <c r="R42" s="7"/>
      <c r="S42" s="7" t="s">
        <v>37</v>
      </c>
      <c r="T42" s="20">
        <f>O31/1000</f>
        <v>27.501999999999999</v>
      </c>
      <c r="U42" s="15">
        <f>P31</f>
        <v>5.8154176868458266E-3</v>
      </c>
    </row>
    <row r="43" spans="1:48" ht="16" x14ac:dyDescent="0.2">
      <c r="A43" s="23" t="s">
        <v>57</v>
      </c>
      <c r="B43" s="22"/>
      <c r="C43" s="17">
        <f t="shared" ref="C43:N43" si="4">C42/$O42</f>
        <v>0.21750449001707525</v>
      </c>
      <c r="D43" s="17">
        <f t="shared" si="4"/>
        <v>0</v>
      </c>
      <c r="E43" s="17">
        <f t="shared" si="4"/>
        <v>3.5228289966540639E-3</v>
      </c>
      <c r="F43" s="17">
        <f t="shared" si="4"/>
        <v>1.6809133730968533E-2</v>
      </c>
      <c r="G43" s="17">
        <f t="shared" si="4"/>
        <v>0.22440039333445011</v>
      </c>
      <c r="H43" s="17">
        <f t="shared" si="4"/>
        <v>0</v>
      </c>
      <c r="I43" s="17">
        <f t="shared" si="4"/>
        <v>0.16387534383636154</v>
      </c>
      <c r="J43" s="17">
        <f t="shared" si="4"/>
        <v>0</v>
      </c>
      <c r="K43" s="17">
        <f t="shared" si="4"/>
        <v>8.9351626577834103E-2</v>
      </c>
      <c r="L43" s="17">
        <f t="shared" si="4"/>
        <v>1.4669968054422382E-3</v>
      </c>
      <c r="M43" s="17">
        <f t="shared" si="4"/>
        <v>8.0933417061372324E-3</v>
      </c>
      <c r="N43" s="17">
        <f t="shared" si="4"/>
        <v>0.27497584499507688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1894.4870000000001</v>
      </c>
      <c r="U43" s="16">
        <f>P32</f>
        <v>0.40059752771796558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1013.104</v>
      </c>
      <c r="U44" s="16">
        <f>P34</f>
        <v>0.21422525344390422</v>
      </c>
    </row>
    <row r="45" spans="1:48" ht="16" x14ac:dyDescent="0.2">
      <c r="A45" s="6" t="s">
        <v>60</v>
      </c>
      <c r="B45" s="6">
        <f>B23-B39</f>
        <v>135210</v>
      </c>
      <c r="C45" s="6"/>
      <c r="D45" s="9"/>
      <c r="E45" s="9"/>
      <c r="F45" s="9"/>
      <c r="G45" s="9"/>
      <c r="H45" s="9"/>
      <c r="I45" s="9"/>
      <c r="J45" s="9"/>
      <c r="K45" s="9"/>
      <c r="L45" s="9"/>
      <c r="M45" s="6"/>
      <c r="N45" s="26">
        <f>N39*0.08</f>
        <v>116147.04000000001</v>
      </c>
      <c r="O45" s="25">
        <f>B45+N45</f>
        <v>251357.04</v>
      </c>
      <c r="P45" s="7"/>
      <c r="Q45" s="7"/>
      <c r="R45" s="7"/>
      <c r="S45" s="7" t="s">
        <v>61</v>
      </c>
      <c r="T45" s="20">
        <f>SUM(T39:T44)</f>
        <v>4729.1530000000002</v>
      </c>
      <c r="U45" s="15">
        <f>SUM(U39:U44)</f>
        <v>1</v>
      </c>
    </row>
    <row r="46" spans="1:48" ht="16" x14ac:dyDescent="0.2">
      <c r="A46" s="6"/>
      <c r="B46" s="60">
        <f>B45/B23</f>
        <v>0.14378780531380006</v>
      </c>
      <c r="C46" s="6"/>
      <c r="M46" s="6"/>
      <c r="N46"/>
      <c r="O46" s="6"/>
      <c r="P46" s="7"/>
      <c r="Q46" s="7"/>
      <c r="R46" s="7"/>
    </row>
    <row r="47" spans="1:48" x14ac:dyDescent="0.2">
      <c r="K47" s="11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8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L48" s="28"/>
      <c r="M48" s="28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 t="s">
        <v>31</v>
      </c>
      <c r="C49" s="6" t="s">
        <v>38</v>
      </c>
      <c r="D49" s="6" t="s">
        <v>4</v>
      </c>
      <c r="E49" s="6" t="s">
        <v>5</v>
      </c>
      <c r="F49" s="6" t="s">
        <v>32</v>
      </c>
      <c r="G49" s="6" t="s">
        <v>131</v>
      </c>
      <c r="H49" s="6" t="s">
        <v>7</v>
      </c>
      <c r="I49" s="6" t="s">
        <v>6</v>
      </c>
      <c r="J49" s="6" t="s">
        <v>8</v>
      </c>
      <c r="K49" s="6" t="s">
        <v>9</v>
      </c>
      <c r="L49" s="6" t="s">
        <v>10</v>
      </c>
      <c r="M49" s="6" t="s">
        <v>10</v>
      </c>
      <c r="N49" s="6" t="s">
        <v>11</v>
      </c>
      <c r="O49" s="6" t="s">
        <v>34</v>
      </c>
      <c r="P49" s="27"/>
      <c r="Q49" s="27"/>
      <c r="R49" s="27" t="s">
        <v>133</v>
      </c>
      <c r="S49" s="27" t="s">
        <v>147</v>
      </c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 t="s">
        <v>146</v>
      </c>
      <c r="B50" s="53"/>
      <c r="C50" s="53">
        <f>4607+13329+66737+96*9.8</f>
        <v>85613.8</v>
      </c>
      <c r="D50" s="53"/>
      <c r="E50" s="66">
        <f>1.35*12.8</f>
        <v>17.28</v>
      </c>
      <c r="F50" s="53"/>
      <c r="G50" s="53">
        <v>256250</v>
      </c>
      <c r="I50" s="53">
        <v>820719</v>
      </c>
      <c r="J50" s="53"/>
      <c r="K50" s="53"/>
      <c r="L50" s="63">
        <v>7347</v>
      </c>
      <c r="M50" s="53">
        <f>2706+9787+28040</f>
        <v>40533</v>
      </c>
      <c r="N50" s="9">
        <v>323818</v>
      </c>
      <c r="O50" s="53">
        <f>SUM(B50:N50)</f>
        <v>1534298.08</v>
      </c>
      <c r="P50" s="53"/>
      <c r="Q50" s="53"/>
      <c r="R50" s="53">
        <v>124814</v>
      </c>
      <c r="S50" s="53">
        <v>18489</v>
      </c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 t="s">
        <v>151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 t="s">
        <v>152</v>
      </c>
      <c r="O51" s="53"/>
      <c r="P51" s="27"/>
      <c r="Q51" s="27"/>
      <c r="R51" s="4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ht="16" x14ac:dyDescent="0.2">
      <c r="A53" s="27"/>
      <c r="B53" s="4"/>
      <c r="C53" s="9"/>
      <c r="M53" s="27"/>
      <c r="N53" s="9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 t="s">
        <v>134</v>
      </c>
      <c r="B54" s="7"/>
      <c r="C54" s="29"/>
      <c r="M54" s="27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ht="16" x14ac:dyDescent="0.2">
      <c r="A55" s="5" t="s">
        <v>135</v>
      </c>
      <c r="B55" s="2" t="s">
        <v>136</v>
      </c>
      <c r="C55" s="6" t="s">
        <v>98</v>
      </c>
      <c r="D55" s="6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 t="s">
        <v>137</v>
      </c>
      <c r="B56" s="67">
        <v>36.700000000000003</v>
      </c>
      <c r="C56" s="6">
        <f>B56*1000*9.1</f>
        <v>333970</v>
      </c>
      <c r="D56" s="6"/>
      <c r="G56" s="9"/>
      <c r="H56" s="2" t="s">
        <v>2</v>
      </c>
      <c r="I56" s="6" t="s">
        <v>19</v>
      </c>
      <c r="J56" s="6" t="s">
        <v>38</v>
      </c>
      <c r="K56" s="6" t="s">
        <v>4</v>
      </c>
      <c r="L56" s="6" t="s">
        <v>5</v>
      </c>
      <c r="M56" s="6" t="s">
        <v>20</v>
      </c>
      <c r="N56" s="6" t="s">
        <v>131</v>
      </c>
      <c r="O56" s="6" t="s">
        <v>7</v>
      </c>
      <c r="P56" s="6" t="s">
        <v>6</v>
      </c>
      <c r="Q56" s="6" t="s">
        <v>8</v>
      </c>
      <c r="R56" s="6" t="s">
        <v>9</v>
      </c>
      <c r="S56" s="6" t="s">
        <v>11</v>
      </c>
      <c r="T56" s="11" t="s">
        <v>12</v>
      </c>
      <c r="U56" s="4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 t="s">
        <v>138</v>
      </c>
      <c r="B57" s="67">
        <v>71.099999999999994</v>
      </c>
      <c r="C57" s="6">
        <f>B57*1000*9.8</f>
        <v>696780</v>
      </c>
      <c r="D57" s="32">
        <f>SUM(C56:C58)</f>
        <v>1036650</v>
      </c>
      <c r="F57" s="68" t="s">
        <v>144</v>
      </c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7"/>
    </row>
    <row r="58" spans="1:48" ht="16" x14ac:dyDescent="0.2">
      <c r="A58" s="5" t="s">
        <v>139</v>
      </c>
      <c r="B58" s="67">
        <v>1</v>
      </c>
      <c r="C58" s="6">
        <f>B58*1000*5.9</f>
        <v>5900</v>
      </c>
      <c r="G58" s="8" t="s">
        <v>145</v>
      </c>
      <c r="I58" s="69">
        <v>80900</v>
      </c>
      <c r="J58" s="56">
        <f>497.7*10.6</f>
        <v>5275.62</v>
      </c>
      <c r="K58" s="53"/>
      <c r="L58" s="53"/>
      <c r="M58" s="53"/>
      <c r="N58" s="69">
        <v>75100</v>
      </c>
      <c r="O58" s="53"/>
      <c r="P58" s="53"/>
      <c r="Q58" s="53"/>
      <c r="R58" s="53"/>
      <c r="S58" s="53">
        <v>3716</v>
      </c>
      <c r="T58" s="69">
        <f>SUM(J58:S58)</f>
        <v>84091.62</v>
      </c>
      <c r="U58" s="7"/>
    </row>
    <row r="59" spans="1:48" ht="16" x14ac:dyDescent="0.2">
      <c r="A59" s="5" t="s">
        <v>140</v>
      </c>
      <c r="B59" s="67">
        <v>4</v>
      </c>
      <c r="C59" s="6">
        <f>B59*1000*9.95</f>
        <v>39800</v>
      </c>
      <c r="G59" s="29"/>
      <c r="H59" s="8"/>
      <c r="I59" s="69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7"/>
    </row>
    <row r="60" spans="1:48" x14ac:dyDescent="0.2">
      <c r="A60" s="5" t="s">
        <v>141</v>
      </c>
      <c r="B60" s="67">
        <v>3.3</v>
      </c>
      <c r="C60" s="6">
        <f>B60*1000*9.95</f>
        <v>32835</v>
      </c>
      <c r="D60" s="11">
        <f>SUM(C59:C61)</f>
        <v>235875</v>
      </c>
      <c r="F60" s="70" t="s">
        <v>149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11"/>
      <c r="U60" s="7"/>
    </row>
    <row r="61" spans="1:48" ht="16" x14ac:dyDescent="0.2">
      <c r="A61" s="5" t="s">
        <v>142</v>
      </c>
      <c r="B61" s="67">
        <v>15.4</v>
      </c>
      <c r="C61" s="6">
        <f>B61*1000*10.6</f>
        <v>163240</v>
      </c>
      <c r="G61" s="5" t="s">
        <v>148</v>
      </c>
      <c r="H61" s="69">
        <v>215682</v>
      </c>
      <c r="I61" s="69">
        <v>788516</v>
      </c>
      <c r="J61" s="69">
        <f>1250*9.8</f>
        <v>12250</v>
      </c>
      <c r="K61" s="69"/>
      <c r="L61" s="69"/>
      <c r="M61" s="69"/>
      <c r="N61" s="69">
        <f>219211*2.33</f>
        <v>510761.63</v>
      </c>
      <c r="O61" s="69"/>
      <c r="P61" s="69"/>
      <c r="Q61" s="69">
        <f>8572*2.57</f>
        <v>22030.039999999997</v>
      </c>
      <c r="R61" s="69">
        <f>162310*2.8</f>
        <v>454468</v>
      </c>
      <c r="S61" s="69"/>
      <c r="T61" s="69">
        <f>SUM(J61:S61)</f>
        <v>999509.67</v>
      </c>
      <c r="U61" s="7"/>
    </row>
    <row r="62" spans="1:48" x14ac:dyDescent="0.2">
      <c r="C62" s="11">
        <f>SUM(C56:C61)</f>
        <v>1272525</v>
      </c>
      <c r="U62" s="7"/>
    </row>
    <row r="63" spans="1:48" ht="16" x14ac:dyDescent="0.2">
      <c r="G63" s="8" t="s">
        <v>17</v>
      </c>
      <c r="H63" s="69">
        <f t="shared" ref="H63:T63" si="5">H58+H61</f>
        <v>215682</v>
      </c>
      <c r="I63" s="69">
        <f t="shared" si="5"/>
        <v>869416</v>
      </c>
      <c r="J63" s="69">
        <f t="shared" si="5"/>
        <v>17525.62</v>
      </c>
      <c r="K63" s="69">
        <f t="shared" si="5"/>
        <v>0</v>
      </c>
      <c r="L63" s="69">
        <f t="shared" si="5"/>
        <v>0</v>
      </c>
      <c r="M63" s="69">
        <f t="shared" si="5"/>
        <v>0</v>
      </c>
      <c r="N63" s="69">
        <f t="shared" si="5"/>
        <v>585861.63</v>
      </c>
      <c r="O63" s="69">
        <f t="shared" si="5"/>
        <v>0</v>
      </c>
      <c r="P63" s="69">
        <f t="shared" si="5"/>
        <v>0</v>
      </c>
      <c r="Q63" s="69">
        <f t="shared" si="5"/>
        <v>22030.039999999997</v>
      </c>
      <c r="R63" s="69">
        <f t="shared" si="5"/>
        <v>454468</v>
      </c>
      <c r="S63" s="69">
        <f t="shared" si="5"/>
        <v>3716</v>
      </c>
      <c r="T63" s="69">
        <f t="shared" si="5"/>
        <v>1083601.29</v>
      </c>
      <c r="U63" s="7"/>
    </row>
    <row r="64" spans="1:48" ht="16" x14ac:dyDescent="0.2"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S65" s="7"/>
      <c r="T65" s="6"/>
      <c r="U65" s="31"/>
    </row>
    <row r="66" spans="1:21" ht="16" x14ac:dyDescent="0.2"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F70" s="6" t="s">
        <v>78</v>
      </c>
      <c r="L70" s="7"/>
      <c r="M70" s="7"/>
      <c r="N70" s="7"/>
      <c r="O70" s="7"/>
      <c r="P70" s="32"/>
      <c r="Q70" s="36"/>
      <c r="R70" s="7"/>
      <c r="S70" s="37"/>
      <c r="T70" s="32"/>
      <c r="U70" s="36"/>
    </row>
    <row r="71" spans="1:21" x14ac:dyDescent="0.2">
      <c r="A71" s="27" t="s">
        <v>76</v>
      </c>
      <c r="B71" s="9">
        <v>359984</v>
      </c>
      <c r="C71" s="27" t="s">
        <v>87</v>
      </c>
      <c r="D71" s="27"/>
      <c r="E71" s="27"/>
      <c r="F71" s="27">
        <v>1918</v>
      </c>
      <c r="G71" s="27" t="s">
        <v>76</v>
      </c>
      <c r="H71" s="27"/>
      <c r="I71" s="27"/>
      <c r="J71" s="27"/>
      <c r="K71" s="27"/>
      <c r="M71" s="9">
        <v>9216</v>
      </c>
    </row>
    <row r="72" spans="1:21" x14ac:dyDescent="0.2">
      <c r="A72" s="27" t="s">
        <v>84</v>
      </c>
      <c r="B72" s="9">
        <v>131505</v>
      </c>
      <c r="C72" s="27" t="s">
        <v>77</v>
      </c>
      <c r="D72" s="27"/>
      <c r="E72" s="28"/>
      <c r="F72" s="28">
        <v>1228</v>
      </c>
      <c r="G72" s="27" t="s">
        <v>84</v>
      </c>
      <c r="H72" s="28"/>
      <c r="I72" s="28"/>
      <c r="J72" s="28"/>
      <c r="K72" s="28"/>
      <c r="M72" s="74">
        <v>583226</v>
      </c>
      <c r="O72" s="11">
        <f>M75+M73+M72</f>
        <v>1039497</v>
      </c>
    </row>
    <row r="73" spans="1:21" x14ac:dyDescent="0.2">
      <c r="A73" s="27" t="s">
        <v>58</v>
      </c>
      <c r="B73" s="9">
        <v>38263</v>
      </c>
      <c r="C73" s="28"/>
      <c r="D73" s="27"/>
      <c r="E73" s="27"/>
      <c r="F73" s="27">
        <v>0</v>
      </c>
      <c r="G73" s="27" t="s">
        <v>58</v>
      </c>
      <c r="H73" s="27"/>
      <c r="I73" s="27"/>
      <c r="J73" s="27"/>
      <c r="K73" s="27"/>
      <c r="M73" s="9">
        <v>79668</v>
      </c>
    </row>
    <row r="74" spans="1:21" x14ac:dyDescent="0.2">
      <c r="A74" s="27" t="s">
        <v>79</v>
      </c>
      <c r="B74" s="9">
        <v>17260</v>
      </c>
      <c r="C74" s="27"/>
      <c r="D74" s="27"/>
      <c r="E74" s="27"/>
      <c r="F74" s="27"/>
      <c r="G74" s="27" t="s">
        <v>79</v>
      </c>
      <c r="H74" s="27"/>
      <c r="I74" s="27"/>
      <c r="J74" s="27"/>
      <c r="K74" s="27"/>
      <c r="M74" s="9">
        <v>4539</v>
      </c>
    </row>
    <row r="75" spans="1:21" x14ac:dyDescent="0.2">
      <c r="A75" s="27" t="s">
        <v>80</v>
      </c>
      <c r="B75" s="9">
        <v>147767</v>
      </c>
      <c r="C75" s="27"/>
      <c r="D75" s="27"/>
      <c r="E75" s="27"/>
      <c r="F75" s="27">
        <v>2168</v>
      </c>
      <c r="G75" s="27" t="s">
        <v>80</v>
      </c>
      <c r="H75" s="27"/>
      <c r="I75" s="27"/>
      <c r="J75" s="27"/>
      <c r="K75" s="27"/>
      <c r="M75" s="9">
        <v>376603</v>
      </c>
    </row>
    <row r="76" spans="1:21" x14ac:dyDescent="0.2">
      <c r="A76" s="27" t="s">
        <v>81</v>
      </c>
      <c r="B76" s="9">
        <v>150364</v>
      </c>
      <c r="C76" s="28"/>
      <c r="D76" s="27"/>
      <c r="E76" s="27"/>
      <c r="F76" s="27">
        <v>1977</v>
      </c>
      <c r="G76" s="27" t="s">
        <v>81</v>
      </c>
      <c r="H76" s="27"/>
      <c r="I76" s="27"/>
      <c r="J76" s="27"/>
      <c r="K76" s="27"/>
      <c r="M76" s="9">
        <v>318861</v>
      </c>
    </row>
    <row r="77" spans="1:21" x14ac:dyDescent="0.2">
      <c r="A77" s="27"/>
      <c r="B77" s="9">
        <f>SUM(B71:B76)</f>
        <v>845143</v>
      </c>
      <c r="C77" s="28"/>
      <c r="D77" s="27"/>
      <c r="E77" s="27"/>
      <c r="F77" s="27">
        <f>SUM(F71:F76)</f>
        <v>7291</v>
      </c>
      <c r="G77" s="27"/>
      <c r="H77" s="27"/>
      <c r="I77" s="27"/>
      <c r="J77" s="27"/>
      <c r="K77" s="27"/>
      <c r="M77" s="9">
        <v>98643</v>
      </c>
    </row>
    <row r="78" spans="1:21" x14ac:dyDescent="0.2">
      <c r="A78" s="27" t="s">
        <v>82</v>
      </c>
      <c r="B78" s="27"/>
      <c r="C78" s="27"/>
      <c r="D78" s="27"/>
      <c r="E78" s="27"/>
      <c r="F78" s="27">
        <v>7584</v>
      </c>
      <c r="G78" s="27"/>
      <c r="H78" s="27"/>
      <c r="I78" s="27"/>
      <c r="J78" s="27"/>
      <c r="K78" s="27"/>
      <c r="M78" s="9">
        <v>28250</v>
      </c>
    </row>
    <row r="79" spans="1:21" x14ac:dyDescent="0.2">
      <c r="A79" s="27"/>
      <c r="B79" s="27">
        <v>3000</v>
      </c>
      <c r="C79" s="27"/>
      <c r="D79" s="27"/>
      <c r="E79" s="28"/>
      <c r="F79" s="28" t="s">
        <v>86</v>
      </c>
      <c r="G79" s="28"/>
      <c r="H79" s="28"/>
      <c r="I79" s="28"/>
      <c r="J79" s="28"/>
      <c r="K79" s="28"/>
      <c r="M79" s="74">
        <f>SUM(M71:M78)</f>
        <v>1499006</v>
      </c>
    </row>
    <row r="80" spans="1:21" x14ac:dyDescent="0.2">
      <c r="A80" s="27"/>
      <c r="B80" s="4"/>
      <c r="C80" s="27"/>
      <c r="D80" s="27"/>
      <c r="E80" s="28"/>
      <c r="F80" s="28" t="s">
        <v>78</v>
      </c>
      <c r="G80" s="28"/>
      <c r="H80" s="28"/>
      <c r="I80" s="6" t="s">
        <v>85</v>
      </c>
      <c r="J80" s="28"/>
      <c r="K80" s="28"/>
    </row>
    <row r="81" spans="1:16" x14ac:dyDescent="0.2">
      <c r="A81" s="7" t="s">
        <v>83</v>
      </c>
      <c r="B81" s="7"/>
      <c r="C81" s="29"/>
      <c r="D81" s="29"/>
      <c r="E81" s="29"/>
      <c r="F81" s="27">
        <v>1918</v>
      </c>
      <c r="G81" s="27" t="s">
        <v>76</v>
      </c>
      <c r="H81" s="29"/>
      <c r="I81" s="9">
        <f>B71-F81</f>
        <v>358066</v>
      </c>
      <c r="J81" s="27" t="s">
        <v>76</v>
      </c>
      <c r="K81" s="29"/>
    </row>
    <row r="82" spans="1:16" x14ac:dyDescent="0.2">
      <c r="A82" s="7"/>
      <c r="B82" s="7"/>
      <c r="C82" s="29"/>
      <c r="D82" s="29"/>
      <c r="E82" s="29"/>
      <c r="F82" s="28">
        <v>1228</v>
      </c>
      <c r="G82" s="27" t="s">
        <v>84</v>
      </c>
      <c r="H82" s="29"/>
      <c r="I82" s="9">
        <f t="shared" ref="I82:I86" si="6">B72-F82</f>
        <v>130277</v>
      </c>
      <c r="J82" s="27" t="s">
        <v>84</v>
      </c>
      <c r="K82" s="29"/>
    </row>
    <row r="83" spans="1:16" x14ac:dyDescent="0.2">
      <c r="A83" s="7"/>
      <c r="B83" s="7"/>
      <c r="C83" s="29"/>
      <c r="D83" s="29"/>
      <c r="E83" s="29"/>
      <c r="F83" s="27">
        <v>0</v>
      </c>
      <c r="G83" s="27" t="s">
        <v>58</v>
      </c>
      <c r="H83" s="29"/>
      <c r="I83" s="9">
        <f t="shared" si="6"/>
        <v>38263</v>
      </c>
      <c r="J83" s="27" t="s">
        <v>58</v>
      </c>
      <c r="K83" s="29"/>
    </row>
    <row r="84" spans="1:16" ht="16" x14ac:dyDescent="0.2">
      <c r="A84" s="23"/>
      <c r="B84" s="7"/>
      <c r="C84" s="29"/>
      <c r="D84" s="29"/>
      <c r="E84" s="29"/>
      <c r="F84" s="27">
        <v>0</v>
      </c>
      <c r="G84" s="27" t="s">
        <v>79</v>
      </c>
      <c r="H84" s="29"/>
      <c r="I84" s="9">
        <f t="shared" si="6"/>
        <v>17260</v>
      </c>
      <c r="J84" s="27" t="s">
        <v>79</v>
      </c>
      <c r="K84" s="29"/>
    </row>
    <row r="85" spans="1:16" x14ac:dyDescent="0.2">
      <c r="A85" s="7"/>
      <c r="B85" s="7"/>
      <c r="C85" s="7"/>
      <c r="D85" s="7"/>
      <c r="E85" s="7"/>
      <c r="F85" s="27">
        <v>2168</v>
      </c>
      <c r="G85" s="27" t="s">
        <v>80</v>
      </c>
      <c r="H85" s="7"/>
      <c r="I85" s="9">
        <f t="shared" si="6"/>
        <v>145599</v>
      </c>
      <c r="J85" s="27" t="s">
        <v>80</v>
      </c>
      <c r="K85" s="6">
        <f>I84+I85</f>
        <v>162859</v>
      </c>
    </row>
    <row r="86" spans="1:16" x14ac:dyDescent="0.2">
      <c r="A86" s="7"/>
      <c r="B86" s="7"/>
      <c r="C86" s="7"/>
      <c r="D86" s="7"/>
      <c r="E86" s="7"/>
      <c r="F86" s="27">
        <v>2270</v>
      </c>
      <c r="G86" s="27" t="s">
        <v>81</v>
      </c>
      <c r="H86" s="7"/>
      <c r="I86" s="9">
        <f t="shared" si="6"/>
        <v>148094</v>
      </c>
      <c r="J86" s="27" t="s">
        <v>81</v>
      </c>
      <c r="K86" s="7"/>
    </row>
    <row r="87" spans="1:16" x14ac:dyDescent="0.2">
      <c r="A87" s="7"/>
      <c r="B87" s="34"/>
      <c r="C87" s="34"/>
      <c r="D87" s="34"/>
      <c r="E87" s="34"/>
      <c r="F87" s="34">
        <f>SUM(F81:F86)</f>
        <v>7584</v>
      </c>
      <c r="G87" s="34"/>
      <c r="H87" s="34"/>
      <c r="I87" s="35">
        <f>SUM(I81:I86)</f>
        <v>837559</v>
      </c>
      <c r="J87" s="7"/>
      <c r="K87" s="7"/>
    </row>
    <row r="88" spans="1:16" x14ac:dyDescent="0.2">
      <c r="A88" s="7" t="s">
        <v>58</v>
      </c>
      <c r="B88" s="6"/>
      <c r="C88" s="6"/>
      <c r="D88" s="6"/>
      <c r="E88" s="6"/>
      <c r="F88" s="6"/>
      <c r="G88" s="6"/>
      <c r="H88" s="6"/>
      <c r="I88" s="6"/>
      <c r="J88" s="7"/>
      <c r="K88" s="7"/>
    </row>
    <row r="89" spans="1:16" ht="16" x14ac:dyDescent="0.2">
      <c r="A89" s="7" t="s">
        <v>88</v>
      </c>
      <c r="B89" s="6"/>
      <c r="C89" s="7" t="s">
        <v>88</v>
      </c>
      <c r="D89" s="6" t="s">
        <v>98</v>
      </c>
      <c r="E89" s="43" t="s">
        <v>116</v>
      </c>
      <c r="F89" s="43" t="s">
        <v>117</v>
      </c>
      <c r="G89" s="6"/>
      <c r="H89" s="6"/>
      <c r="I89" s="6"/>
      <c r="J89" s="7"/>
      <c r="K89" s="7"/>
    </row>
    <row r="90" spans="1:16" x14ac:dyDescent="0.2">
      <c r="A90" s="7" t="s">
        <v>89</v>
      </c>
      <c r="B90" s="6"/>
      <c r="C90" s="6" t="s">
        <v>33</v>
      </c>
      <c r="D90" s="6">
        <v>289143</v>
      </c>
      <c r="E90" s="6">
        <f>D90</f>
        <v>289143</v>
      </c>
      <c r="F90" s="6"/>
      <c r="G90" s="6"/>
      <c r="H90" s="6"/>
      <c r="I90" s="76" t="s">
        <v>156</v>
      </c>
      <c r="J90" s="7"/>
      <c r="K90" s="7"/>
    </row>
    <row r="91" spans="1:16" x14ac:dyDescent="0.2">
      <c r="A91" s="44">
        <v>27348</v>
      </c>
      <c r="B91" s="6" t="s">
        <v>90</v>
      </c>
      <c r="C91" s="2" t="s">
        <v>92</v>
      </c>
      <c r="D91" s="6">
        <v>23224</v>
      </c>
      <c r="E91" s="6">
        <f t="shared" ref="E91:E97" si="7">D91</f>
        <v>23224</v>
      </c>
      <c r="F91" s="6">
        <f>D91</f>
        <v>23224</v>
      </c>
      <c r="G91" s="6"/>
      <c r="H91" s="6"/>
      <c r="I91" s="6"/>
      <c r="J91" s="5">
        <v>2009</v>
      </c>
      <c r="K91" s="76">
        <v>2010</v>
      </c>
      <c r="L91" s="5">
        <v>2011</v>
      </c>
      <c r="M91" s="5">
        <v>2012</v>
      </c>
      <c r="N91" s="5">
        <v>2013</v>
      </c>
      <c r="O91" s="5" t="s">
        <v>157</v>
      </c>
    </row>
    <row r="92" spans="1:16" x14ac:dyDescent="0.2">
      <c r="C92" s="2" t="s">
        <v>3</v>
      </c>
      <c r="D92" s="11">
        <v>89316</v>
      </c>
      <c r="E92" s="6"/>
      <c r="F92" s="6"/>
      <c r="G92" s="6"/>
      <c r="H92" s="6"/>
      <c r="I92" s="6"/>
      <c r="J92" s="6">
        <v>80704</v>
      </c>
      <c r="K92" s="6">
        <v>82305</v>
      </c>
      <c r="L92" s="6">
        <v>77617</v>
      </c>
      <c r="M92" s="6">
        <v>81116</v>
      </c>
      <c r="N92" s="6">
        <v>79668</v>
      </c>
      <c r="O92" s="6">
        <f>AVERAGE(J92:N92)</f>
        <v>80282</v>
      </c>
      <c r="P92" s="6"/>
    </row>
    <row r="93" spans="1:16" x14ac:dyDescent="0.2">
      <c r="C93" s="2" t="s">
        <v>93</v>
      </c>
      <c r="D93" s="6">
        <v>1000</v>
      </c>
      <c r="E93" s="6"/>
      <c r="F93" s="6"/>
      <c r="G93" s="6"/>
      <c r="H93" s="6"/>
      <c r="I93" s="6"/>
      <c r="J93" s="6">
        <v>420781</v>
      </c>
      <c r="K93" s="6">
        <v>429517</v>
      </c>
      <c r="L93" s="6">
        <v>421134</v>
      </c>
      <c r="M93" s="6">
        <v>430446</v>
      </c>
      <c r="N93" s="6">
        <v>376603</v>
      </c>
      <c r="O93" s="6">
        <f>AVERAGE(J93:N93)</f>
        <v>415696.2</v>
      </c>
      <c r="P93" s="6"/>
    </row>
    <row r="94" spans="1:16" ht="16" x14ac:dyDescent="0.2">
      <c r="A94" s="7"/>
      <c r="B94" s="32"/>
      <c r="C94" s="23" t="s">
        <v>35</v>
      </c>
      <c r="D94" s="23">
        <f>0.855*12.9</f>
        <v>11.029500000000001</v>
      </c>
      <c r="E94" s="6">
        <f t="shared" si="7"/>
        <v>11.029500000000001</v>
      </c>
      <c r="F94" s="32"/>
      <c r="G94" s="32"/>
      <c r="H94" s="32"/>
      <c r="I94" s="6"/>
      <c r="O94" s="6"/>
      <c r="P94" s="6"/>
    </row>
    <row r="95" spans="1:16" x14ac:dyDescent="0.2">
      <c r="C95" s="42" t="s">
        <v>94</v>
      </c>
      <c r="D95" s="42">
        <v>9403</v>
      </c>
      <c r="E95" s="6">
        <f t="shared" si="7"/>
        <v>9403</v>
      </c>
      <c r="F95" s="2">
        <f>D95</f>
        <v>9403</v>
      </c>
      <c r="I95" s="5"/>
    </row>
    <row r="96" spans="1:16" x14ac:dyDescent="0.2">
      <c r="C96" s="2" t="s">
        <v>95</v>
      </c>
      <c r="D96" s="2">
        <v>2318</v>
      </c>
      <c r="E96" s="6">
        <f t="shared" si="7"/>
        <v>2318</v>
      </c>
    </row>
    <row r="97" spans="3:6" x14ac:dyDescent="0.2">
      <c r="C97" s="2" t="s">
        <v>96</v>
      </c>
      <c r="D97" s="2">
        <v>784561</v>
      </c>
      <c r="E97" s="6">
        <f t="shared" si="7"/>
        <v>784561</v>
      </c>
      <c r="F97" s="2">
        <f>D97</f>
        <v>784561</v>
      </c>
    </row>
    <row r="98" spans="3:6" x14ac:dyDescent="0.2">
      <c r="D98" s="11">
        <f>SUM(D90:D97)</f>
        <v>1198976.0294999999</v>
      </c>
      <c r="E98" s="11">
        <f>SUM(E90:E97)</f>
        <v>1108660.0294999999</v>
      </c>
      <c r="F98" s="11">
        <f>SUM(F90:F97)</f>
        <v>817188</v>
      </c>
    </row>
    <row r="101" spans="3:6" x14ac:dyDescent="0.2">
      <c r="C101" s="2" t="s">
        <v>97</v>
      </c>
      <c r="D101" s="2">
        <v>315643</v>
      </c>
    </row>
    <row r="102" spans="3:6" x14ac:dyDescent="0.2">
      <c r="C102" s="2" t="s">
        <v>99</v>
      </c>
      <c r="D102" s="2">
        <v>107380</v>
      </c>
    </row>
  </sheetData>
  <pageMargins left="0.75" right="0.75" top="0.75" bottom="0.5" header="0.5" footer="0.75"/>
  <pageSetup paperSize="9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5" enableFormatConditionsCalculation="0"/>
  <dimension ref="A1:AV70"/>
  <sheetViews>
    <sheetView workbookViewId="0">
      <selection activeCell="O39" sqref="O39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74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47*0.95</f>
        <v>44.65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37939</v>
      </c>
      <c r="C6" s="53">
        <v>0</v>
      </c>
      <c r="D6" s="53">
        <v>0</v>
      </c>
      <c r="E6" s="53">
        <v>0</v>
      </c>
      <c r="F6" s="53">
        <v>0</v>
      </c>
      <c r="G6" s="56">
        <v>0</v>
      </c>
      <c r="H6" s="53">
        <v>0</v>
      </c>
      <c r="I6" s="53"/>
      <c r="J6" s="53"/>
      <c r="K6" s="53"/>
      <c r="L6" s="53"/>
      <c r="M6" s="53"/>
      <c r="N6" s="53"/>
      <c r="O6" s="56">
        <f>SUM(C6:N6)</f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3">
        <v>1604746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SUM(B4:B9)</f>
        <v>1642729.65</v>
      </c>
      <c r="C10" s="53">
        <v>0</v>
      </c>
      <c r="D10" s="53">
        <v>0</v>
      </c>
      <c r="E10" s="53">
        <v>0</v>
      </c>
      <c r="F10" s="53">
        <v>0</v>
      </c>
      <c r="G10" s="56">
        <f>SUM(G6:G9)</f>
        <v>0</v>
      </c>
      <c r="H10" s="53">
        <v>0</v>
      </c>
      <c r="I10" s="53"/>
      <c r="J10" s="53"/>
      <c r="K10" s="53"/>
      <c r="L10" s="53"/>
      <c r="M10" s="53"/>
      <c r="N10" s="53"/>
      <c r="O10" s="56">
        <f>SUM(O7:O9)</f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74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114353</v>
      </c>
      <c r="C17" s="53">
        <v>736</v>
      </c>
      <c r="D17" s="62">
        <v>0</v>
      </c>
      <c r="E17" s="53">
        <v>0</v>
      </c>
      <c r="F17" s="53">
        <v>0</v>
      </c>
      <c r="G17" s="65">
        <f>130300+41576</f>
        <v>171876</v>
      </c>
      <c r="H17" s="53">
        <v>0</v>
      </c>
      <c r="I17" s="53"/>
      <c r="J17" s="62">
        <v>25800</v>
      </c>
      <c r="K17" s="53"/>
      <c r="L17" s="53"/>
      <c r="M17" s="53"/>
      <c r="N17" s="53"/>
      <c r="O17" s="56">
        <f>SUM(C17:N17)</f>
        <v>198412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/>
      <c r="J18" s="53"/>
      <c r="K18" s="53"/>
      <c r="L18" s="53"/>
      <c r="M18" s="53"/>
      <c r="N18" s="53"/>
      <c r="O18" s="53">
        <v>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582.74860000000001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135.31460000000001</v>
      </c>
      <c r="U22" s="15">
        <f>N43</f>
        <v>0.23220064363946993</v>
      </c>
    </row>
    <row r="23" spans="1:21" ht="16" x14ac:dyDescent="0.2">
      <c r="A23" s="8" t="s">
        <v>17</v>
      </c>
      <c r="B23" s="53">
        <v>114353</v>
      </c>
      <c r="C23" s="53">
        <v>736</v>
      </c>
      <c r="D23" s="62">
        <v>0</v>
      </c>
      <c r="E23" s="53">
        <v>0</v>
      </c>
      <c r="F23" s="53">
        <v>0</v>
      </c>
      <c r="G23" s="65">
        <f>SUM(G17:G22)</f>
        <v>171876</v>
      </c>
      <c r="H23" s="53">
        <v>0</v>
      </c>
      <c r="I23" s="53"/>
      <c r="J23" s="62">
        <f>SUM(J17:J22)</f>
        <v>25800</v>
      </c>
      <c r="K23" s="53"/>
      <c r="L23" s="53"/>
      <c r="M23" s="53"/>
      <c r="N23" s="53"/>
      <c r="O23" s="56">
        <f>SUM(O17:O22)</f>
        <v>198412</v>
      </c>
      <c r="P23" s="3"/>
      <c r="Q23" s="3"/>
      <c r="R23" s="3"/>
      <c r="S23" s="48" t="s">
        <v>131</v>
      </c>
      <c r="T23" s="13">
        <f>G42/1000</f>
        <v>193.899</v>
      </c>
      <c r="U23" s="16">
        <f>G43</f>
        <v>0.33273181608673108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64">
        <f>B17/O23</f>
        <v>0.57634114872084352</v>
      </c>
      <c r="P24" s="3"/>
      <c r="Q24" s="3"/>
      <c r="R24" s="3"/>
      <c r="S24" s="57" t="str">
        <f>J29</f>
        <v>Torv</v>
      </c>
      <c r="T24" s="13">
        <f>J42/1000</f>
        <v>25.8</v>
      </c>
      <c r="U24" s="15">
        <f>J43</f>
        <v>4.4272950634287239E-2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17.03</v>
      </c>
      <c r="U25" s="15">
        <f>F43</f>
        <v>2.9223579430306654E-2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3.859</v>
      </c>
      <c r="U26" s="15">
        <f>E43</f>
        <v>6.6220665309191648E-3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74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9462</v>
      </c>
      <c r="D31" s="53">
        <v>0</v>
      </c>
      <c r="E31" s="53">
        <v>0</v>
      </c>
      <c r="F31" s="53">
        <v>968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3101</v>
      </c>
      <c r="O31" s="53">
        <v>13531</v>
      </c>
      <c r="P31" s="17">
        <f>O31/O$39</f>
        <v>2.6836146986957764E-2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7863</v>
      </c>
      <c r="C32" s="56">
        <f>O32-N32-E32-B32</f>
        <v>12277</v>
      </c>
      <c r="D32" s="53">
        <v>0</v>
      </c>
      <c r="E32" s="56">
        <v>3859</v>
      </c>
      <c r="F32" s="53">
        <v>0</v>
      </c>
      <c r="G32" s="53">
        <v>0</v>
      </c>
      <c r="H32" s="53">
        <v>0</v>
      </c>
      <c r="I32" s="53"/>
      <c r="J32" s="53"/>
      <c r="K32" s="53"/>
      <c r="L32" s="53"/>
      <c r="M32" s="41"/>
      <c r="N32" s="56">
        <v>47094</v>
      </c>
      <c r="O32" s="53">
        <v>71093</v>
      </c>
      <c r="P32" s="17">
        <f>O32/O$39</f>
        <v>0.14099934947481993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17752</v>
      </c>
      <c r="C33" s="53">
        <v>29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18808</v>
      </c>
      <c r="O33" s="53">
        <v>36589</v>
      </c>
      <c r="P33" s="17">
        <f>O33/O$39</f>
        <v>7.2567273823501408E-2</v>
      </c>
      <c r="Q33" s="18" t="s">
        <v>42</v>
      </c>
      <c r="R33" s="3"/>
      <c r="S33" s="48" t="s">
        <v>38</v>
      </c>
      <c r="T33" s="13">
        <f>C42/1000</f>
        <v>206.846</v>
      </c>
      <c r="U33" s="16">
        <f>C43</f>
        <v>0.354948943678286</v>
      </c>
    </row>
    <row r="34" spans="1:48" ht="16" x14ac:dyDescent="0.2">
      <c r="A34" s="5" t="s">
        <v>43</v>
      </c>
      <c r="B34" s="53">
        <v>0</v>
      </c>
      <c r="C34" s="53">
        <v>183350</v>
      </c>
      <c r="D34" s="53">
        <v>0</v>
      </c>
      <c r="E34" s="53">
        <v>0</v>
      </c>
      <c r="F34" s="53">
        <v>16062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542</v>
      </c>
      <c r="O34" s="53">
        <v>199955</v>
      </c>
      <c r="P34" s="17">
        <f>O34/O$39</f>
        <v>0.3965724462920065</v>
      </c>
      <c r="Q34" s="18" t="s">
        <v>44</v>
      </c>
      <c r="R34" s="3"/>
      <c r="S34" s="3"/>
      <c r="T34" s="13">
        <f>SUM(T22:T33)</f>
        <v>582.74860000000012</v>
      </c>
      <c r="U34" s="15">
        <f>SUM(U22:U33)</f>
        <v>1</v>
      </c>
    </row>
    <row r="35" spans="1:48" ht="16" x14ac:dyDescent="0.2">
      <c r="A35" s="5" t="s">
        <v>45</v>
      </c>
      <c r="B35" s="53">
        <v>18190</v>
      </c>
      <c r="C35" s="53">
        <v>658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34281</v>
      </c>
      <c r="O35" s="53">
        <v>53129</v>
      </c>
      <c r="P35" s="17">
        <f>O35/O$39</f>
        <v>0.10537119601434329</v>
      </c>
      <c r="Q35" s="18" t="s">
        <v>46</v>
      </c>
      <c r="R35" s="18"/>
    </row>
    <row r="36" spans="1:48" ht="16" x14ac:dyDescent="0.2">
      <c r="A36" s="5" t="s">
        <v>47</v>
      </c>
      <c r="B36" s="53">
        <v>21314</v>
      </c>
      <c r="C36" s="56">
        <v>334</v>
      </c>
      <c r="D36" s="53">
        <v>0</v>
      </c>
      <c r="E36" s="53">
        <v>0</v>
      </c>
      <c r="F36" s="53">
        <v>0</v>
      </c>
      <c r="G36" s="53">
        <v>22023</v>
      </c>
      <c r="H36" s="53">
        <v>0</v>
      </c>
      <c r="I36" s="53"/>
      <c r="J36" s="53"/>
      <c r="K36" s="53"/>
      <c r="L36" s="53"/>
      <c r="M36" s="41"/>
      <c r="N36" s="53">
        <v>41696</v>
      </c>
      <c r="O36" s="56">
        <f>SUM(B36:N36)</f>
        <v>85367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29646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7125</v>
      </c>
      <c r="O37" s="53">
        <v>36771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7773</v>
      </c>
      <c r="O38" s="53">
        <v>7773</v>
      </c>
      <c r="P38" s="18">
        <f>SUM(P31:P35)</f>
        <v>0.74234641259162892</v>
      </c>
      <c r="Q38" s="18"/>
      <c r="R38" s="3"/>
      <c r="S38" s="7" t="s">
        <v>50</v>
      </c>
      <c r="T38" s="19">
        <f>O45/1000</f>
        <v>32.422599999999996</v>
      </c>
      <c r="U38" s="7"/>
    </row>
    <row r="39" spans="1:48" ht="16" x14ac:dyDescent="0.2">
      <c r="A39" s="5" t="s">
        <v>17</v>
      </c>
      <c r="B39" s="53">
        <v>94764</v>
      </c>
      <c r="C39" s="56">
        <f>SUM(C31:C38)</f>
        <v>206110</v>
      </c>
      <c r="D39" s="53">
        <v>0</v>
      </c>
      <c r="E39" s="56">
        <f>SUM(E31:E38)</f>
        <v>3859</v>
      </c>
      <c r="F39" s="53">
        <v>17030</v>
      </c>
      <c r="G39" s="53">
        <v>22023</v>
      </c>
      <c r="H39" s="53">
        <v>0</v>
      </c>
      <c r="I39" s="53"/>
      <c r="J39" s="53"/>
      <c r="K39" s="53"/>
      <c r="L39" s="53"/>
      <c r="M39" s="41"/>
      <c r="N39" s="56">
        <f>SUM(N31:N38)</f>
        <v>160420</v>
      </c>
      <c r="O39" s="56">
        <f>SUM(O31:O38)</f>
        <v>504208</v>
      </c>
      <c r="P39" s="3"/>
      <c r="Q39" s="3"/>
      <c r="R39" s="3"/>
      <c r="S39" s="7" t="s">
        <v>51</v>
      </c>
      <c r="T39" s="20">
        <f>O41/1000</f>
        <v>129.911</v>
      </c>
      <c r="U39" s="15">
        <f>P41</f>
        <v>0.25765358740837113</v>
      </c>
    </row>
    <row r="40" spans="1:48" x14ac:dyDescent="0.2">
      <c r="S40" s="7" t="s">
        <v>52</v>
      </c>
      <c r="T40" s="20">
        <f>O35/1000</f>
        <v>53.128999999999998</v>
      </c>
      <c r="U40" s="16">
        <f>P35</f>
        <v>0.10537119601434329</v>
      </c>
    </row>
    <row r="41" spans="1:48" ht="16" x14ac:dyDescent="0.2">
      <c r="A41" s="21" t="s">
        <v>53</v>
      </c>
      <c r="B41" s="22">
        <f>B38+B37+B36</f>
        <v>50960</v>
      </c>
      <c r="C41" s="22">
        <f t="shared" ref="C41:O41" si="0">C38+C37+C36</f>
        <v>334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22023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56594</v>
      </c>
      <c r="O41" s="22">
        <f t="shared" si="0"/>
        <v>129911</v>
      </c>
      <c r="P41" s="17">
        <f>O41/O$39</f>
        <v>0.25765358740837113</v>
      </c>
      <c r="Q41" s="17" t="s">
        <v>54</v>
      </c>
      <c r="R41" s="7"/>
      <c r="S41" s="7" t="s">
        <v>55</v>
      </c>
      <c r="T41" s="20">
        <f>O33/1000</f>
        <v>36.588999999999999</v>
      </c>
      <c r="U41" s="15">
        <f>P33</f>
        <v>7.2567273823501408E-2</v>
      </c>
    </row>
    <row r="42" spans="1:48" ht="16" x14ac:dyDescent="0.2">
      <c r="A42" s="23" t="s">
        <v>56</v>
      </c>
      <c r="B42" s="22"/>
      <c r="C42" s="24">
        <f>C39+C23+C10</f>
        <v>206846</v>
      </c>
      <c r="D42" s="24">
        <f t="shared" ref="D42:L42" si="2">D39+D23+D10</f>
        <v>0</v>
      </c>
      <c r="E42" s="24">
        <f t="shared" si="2"/>
        <v>3859</v>
      </c>
      <c r="F42" s="24">
        <f t="shared" si="2"/>
        <v>17030</v>
      </c>
      <c r="G42" s="24">
        <f t="shared" si="2"/>
        <v>193899</v>
      </c>
      <c r="H42" s="24">
        <f t="shared" si="2"/>
        <v>0</v>
      </c>
      <c r="I42" s="24">
        <f t="shared" si="2"/>
        <v>0</v>
      </c>
      <c r="J42" s="24">
        <f t="shared" si="2"/>
        <v>25800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135314.6</v>
      </c>
      <c r="O42" s="25">
        <f>SUM(C42:N42)</f>
        <v>582748.6</v>
      </c>
      <c r="P42" s="7"/>
      <c r="Q42" s="7"/>
      <c r="R42" s="7"/>
      <c r="S42" s="7" t="s">
        <v>37</v>
      </c>
      <c r="T42" s="20">
        <f>O31/1000</f>
        <v>13.531000000000001</v>
      </c>
      <c r="U42" s="15">
        <f>P31</f>
        <v>2.6836146986957764E-2</v>
      </c>
    </row>
    <row r="43" spans="1:48" ht="16" x14ac:dyDescent="0.2">
      <c r="A43" s="23" t="s">
        <v>57</v>
      </c>
      <c r="B43" s="22"/>
      <c r="C43" s="17">
        <f t="shared" ref="C43:N43" si="4">C42/$O42</f>
        <v>0.354948943678286</v>
      </c>
      <c r="D43" s="17">
        <f t="shared" si="4"/>
        <v>0</v>
      </c>
      <c r="E43" s="17">
        <f t="shared" si="4"/>
        <v>6.6220665309191648E-3</v>
      </c>
      <c r="F43" s="17">
        <f t="shared" si="4"/>
        <v>2.9223579430306654E-2</v>
      </c>
      <c r="G43" s="17">
        <f t="shared" si="4"/>
        <v>0.33273181608673108</v>
      </c>
      <c r="H43" s="17">
        <f t="shared" si="4"/>
        <v>0</v>
      </c>
      <c r="I43" s="17">
        <f t="shared" si="4"/>
        <v>0</v>
      </c>
      <c r="J43" s="17">
        <f t="shared" si="4"/>
        <v>4.4272950634287239E-2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0.23220064363946993</v>
      </c>
      <c r="O43" s="17">
        <f>SUM(C43:N43)</f>
        <v>1.0000000000000002</v>
      </c>
      <c r="P43" s="7"/>
      <c r="Q43" s="7"/>
      <c r="R43" s="7"/>
      <c r="S43" s="7" t="s">
        <v>58</v>
      </c>
      <c r="T43" s="20">
        <f>O32/1000</f>
        <v>71.093000000000004</v>
      </c>
      <c r="U43" s="16">
        <f>P32</f>
        <v>0.14099934947481993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199.95500000000001</v>
      </c>
      <c r="U44" s="16">
        <f>P34</f>
        <v>0.3965724462920065</v>
      </c>
    </row>
    <row r="45" spans="1:48" ht="16" x14ac:dyDescent="0.2">
      <c r="A45" s="6" t="s">
        <v>60</v>
      </c>
      <c r="B45" s="6">
        <f>B23-B39</f>
        <v>19589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12833.6</v>
      </c>
      <c r="O45" s="25">
        <f>B45+N45</f>
        <v>32422.6</v>
      </c>
      <c r="P45" s="7"/>
      <c r="Q45" s="7"/>
      <c r="R45" s="7"/>
      <c r="S45" s="7" t="s">
        <v>61</v>
      </c>
      <c r="T45" s="20">
        <f>SUM(T39:T44)</f>
        <v>504.20799999999997</v>
      </c>
      <c r="U45" s="15">
        <f>SUM(U39:U44)</f>
        <v>1</v>
      </c>
    </row>
    <row r="46" spans="1:48" ht="16" x14ac:dyDescent="0.2">
      <c r="A46" s="6"/>
      <c r="B46" s="60">
        <f>B45/B23</f>
        <v>0.17130289542032129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8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8"/>
      <c r="E55" s="27"/>
      <c r="F55" s="28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8"/>
      <c r="E56" s="27"/>
      <c r="F56" s="28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6" enableFormatConditionsCalculation="0"/>
  <dimension ref="A1:AV101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3" width="11.1640625" style="2" customWidth="1"/>
    <col min="4" max="11" width="8.6640625" style="2"/>
    <col min="12" max="13" width="5.6640625" style="2" customWidth="1"/>
    <col min="14" max="14" width="9.1640625" style="2" customWidth="1"/>
    <col min="15" max="15" width="9.6640625" style="2" customWidth="1"/>
    <col min="16" max="19" width="8.6640625" style="2"/>
    <col min="20" max="20" width="9.1640625" style="2" customWidth="1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75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107*0.95</f>
        <v>101.64999999999999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62">
        <v>128900</v>
      </c>
      <c r="C6" s="53">
        <v>0</v>
      </c>
      <c r="D6" s="56">
        <v>0</v>
      </c>
      <c r="E6" s="53">
        <v>0</v>
      </c>
      <c r="F6" s="53">
        <v>0</v>
      </c>
      <c r="G6" s="56">
        <v>0</v>
      </c>
      <c r="H6" s="53">
        <v>0</v>
      </c>
      <c r="I6" s="53"/>
      <c r="J6" s="53"/>
      <c r="K6" s="53"/>
      <c r="L6" s="53"/>
      <c r="M6" s="53"/>
      <c r="N6" s="53"/>
      <c r="O6" s="56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6">
        <f>B10-B9-B6-B4</f>
        <v>1929244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65">
        <v>5610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2067946-4192+B4</f>
        <v>2063855.65</v>
      </c>
      <c r="C10" s="53">
        <v>0</v>
      </c>
      <c r="D10" s="56">
        <v>0</v>
      </c>
      <c r="E10" s="53">
        <v>0</v>
      </c>
      <c r="F10" s="53">
        <v>0</v>
      </c>
      <c r="G10" s="56">
        <v>0</v>
      </c>
      <c r="H10" s="53">
        <v>0</v>
      </c>
      <c r="I10" s="53"/>
      <c r="J10" s="53"/>
      <c r="K10" s="53"/>
      <c r="L10" s="53"/>
      <c r="M10" s="53"/>
      <c r="N10" s="53"/>
      <c r="O10" s="56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53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75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336402</v>
      </c>
      <c r="C17" s="78">
        <f>4544-C18</f>
        <v>3917</v>
      </c>
      <c r="D17" s="56">
        <v>0</v>
      </c>
      <c r="E17" s="53">
        <v>0</v>
      </c>
      <c r="F17" s="53">
        <v>0</v>
      </c>
      <c r="G17" s="56">
        <f>317360+126297</f>
        <v>443657</v>
      </c>
      <c r="H17" s="53">
        <v>0</v>
      </c>
      <c r="I17" s="53"/>
      <c r="J17" s="56">
        <f>40871+17359</f>
        <v>58230</v>
      </c>
      <c r="K17" s="53"/>
      <c r="L17" s="53"/>
      <c r="M17" s="53"/>
      <c r="N17" s="53"/>
      <c r="O17" s="56">
        <f>SUM(C17:N17)</f>
        <v>505804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3">
        <v>58403</v>
      </c>
      <c r="C18" s="53">
        <v>627</v>
      </c>
      <c r="D18" s="53">
        <v>0</v>
      </c>
      <c r="E18" s="53">
        <v>0</v>
      </c>
      <c r="F18" s="53">
        <v>0</v>
      </c>
      <c r="G18" s="53">
        <v>65798</v>
      </c>
      <c r="H18" s="53">
        <v>0</v>
      </c>
      <c r="I18" s="53"/>
      <c r="J18" s="53"/>
      <c r="K18" s="53"/>
      <c r="L18" s="53"/>
      <c r="M18" s="53"/>
      <c r="N18" s="53"/>
      <c r="O18" s="53">
        <v>66425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3969.2511600000003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34977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1501.2001599999999</v>
      </c>
      <c r="U22" s="15">
        <f>N43</f>
        <v>0.37820739970508693</v>
      </c>
    </row>
    <row r="23" spans="1:21" ht="16" x14ac:dyDescent="0.2">
      <c r="A23" s="8" t="s">
        <v>17</v>
      </c>
      <c r="B23" s="53">
        <v>429782</v>
      </c>
      <c r="C23" s="56">
        <f>SUM(C17:C22)</f>
        <v>4544</v>
      </c>
      <c r="D23" s="56">
        <v>0</v>
      </c>
      <c r="E23" s="53">
        <v>0</v>
      </c>
      <c r="F23" s="53">
        <v>0</v>
      </c>
      <c r="G23" s="56">
        <f>SUM(G17:G22)</f>
        <v>509455</v>
      </c>
      <c r="H23" s="53">
        <v>0</v>
      </c>
      <c r="I23" s="53"/>
      <c r="J23" s="56">
        <f>SUM(J17:J22)</f>
        <v>58230</v>
      </c>
      <c r="K23" s="53"/>
      <c r="L23" s="53"/>
      <c r="M23" s="53"/>
      <c r="N23" s="53"/>
      <c r="O23" s="56">
        <f>SUM(O17:O22)</f>
        <v>572229</v>
      </c>
      <c r="P23" s="3"/>
      <c r="Q23" s="3"/>
      <c r="R23" s="3"/>
      <c r="S23" s="48" t="s">
        <v>131</v>
      </c>
      <c r="T23" s="13">
        <f>G42/1000</f>
        <v>888.06299999999999</v>
      </c>
      <c r="U23" s="16">
        <f>G43</f>
        <v>0.22373565294870379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58.23</v>
      </c>
      <c r="U24" s="15">
        <f>J43</f>
        <v>1.4670273472943949E-2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64.03</v>
      </c>
      <c r="U25" s="15">
        <f>F43</f>
        <v>1.6131506276362718E-2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11.887</v>
      </c>
      <c r="U26" s="15">
        <f>E43</f>
        <v>2.9947714369377419E-3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450.23200000000003</v>
      </c>
      <c r="U27" s="54">
        <f>D43</f>
        <v>0.11342995992221364</v>
      </c>
    </row>
    <row r="28" spans="1:21" ht="16" x14ac:dyDescent="0.2">
      <c r="A28" s="4" t="s">
        <v>75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39345</v>
      </c>
      <c r="D31" s="53">
        <v>0</v>
      </c>
      <c r="E31" s="53">
        <v>0</v>
      </c>
      <c r="F31" s="53">
        <v>4064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20863</v>
      </c>
      <c r="O31" s="53">
        <v>64271</v>
      </c>
      <c r="P31" s="17">
        <f>O31/O$39</f>
        <v>1.7289573933097626E-2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29107</v>
      </c>
      <c r="C32" s="53">
        <v>187356</v>
      </c>
      <c r="D32" s="71">
        <v>392002</v>
      </c>
      <c r="E32" s="53">
        <v>11887</v>
      </c>
      <c r="F32" s="53">
        <v>0</v>
      </c>
      <c r="G32" s="56">
        <v>208423</v>
      </c>
      <c r="H32" s="53">
        <v>0</v>
      </c>
      <c r="I32" s="53"/>
      <c r="J32" s="53"/>
      <c r="K32" s="53"/>
      <c r="L32" s="53"/>
      <c r="M32" s="41"/>
      <c r="N32" s="56">
        <f>O32-G32-E32-D32-C32-B32</f>
        <v>816777</v>
      </c>
      <c r="O32" s="56">
        <f>1649744-4192</f>
        <v>1645552</v>
      </c>
      <c r="P32" s="17">
        <f>O32/O$39</f>
        <v>0.44267076853879145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80473</v>
      </c>
      <c r="C33" s="56">
        <v>3067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87615</v>
      </c>
      <c r="O33" s="56">
        <f>SUM(B33:N33)</f>
        <v>171155</v>
      </c>
      <c r="P33" s="17">
        <f>O33/O$39</f>
        <v>4.604249236077429E-2</v>
      </c>
      <c r="Q33" s="18" t="s">
        <v>42</v>
      </c>
      <c r="R33" s="3"/>
      <c r="S33" s="48" t="s">
        <v>38</v>
      </c>
      <c r="T33" s="13">
        <f>C42/1000</f>
        <v>995.60900000000004</v>
      </c>
      <c r="U33" s="16">
        <f>C43</f>
        <v>0.2508304362377512</v>
      </c>
    </row>
    <row r="34" spans="1:48" ht="16" x14ac:dyDescent="0.2">
      <c r="A34" s="5" t="s">
        <v>43</v>
      </c>
      <c r="B34" s="53">
        <v>0</v>
      </c>
      <c r="C34" s="53">
        <v>720321</v>
      </c>
      <c r="D34" s="53">
        <v>0</v>
      </c>
      <c r="E34" s="53">
        <v>0</v>
      </c>
      <c r="F34" s="53">
        <v>59966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56897</v>
      </c>
      <c r="O34" s="53">
        <v>837184</v>
      </c>
      <c r="P34" s="17">
        <f>O34/O$39</f>
        <v>0.22521128757303299</v>
      </c>
      <c r="Q34" s="18" t="s">
        <v>44</v>
      </c>
      <c r="R34" s="3"/>
      <c r="S34" s="3"/>
      <c r="T34" s="13">
        <f>SUM(T22:T33)</f>
        <v>3969.2511600000003</v>
      </c>
      <c r="U34" s="15">
        <f>SUM(U22:U33)</f>
        <v>1</v>
      </c>
    </row>
    <row r="35" spans="1:48" ht="16" x14ac:dyDescent="0.2">
      <c r="A35" s="5" t="s">
        <v>45</v>
      </c>
      <c r="B35" s="53">
        <v>50994</v>
      </c>
      <c r="C35" s="56">
        <v>39000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180271</v>
      </c>
      <c r="O35" s="56">
        <f>SUM(B35:N35)</f>
        <v>270265</v>
      </c>
      <c r="P35" s="17">
        <f>O35/O$39</f>
        <v>7.2704123150855435E-2</v>
      </c>
      <c r="Q35" s="18" t="s">
        <v>46</v>
      </c>
      <c r="R35" s="18"/>
    </row>
    <row r="36" spans="1:48" ht="16" x14ac:dyDescent="0.2">
      <c r="A36" s="5" t="s">
        <v>47</v>
      </c>
      <c r="B36" s="53">
        <v>57217</v>
      </c>
      <c r="C36" s="56">
        <v>1976</v>
      </c>
      <c r="D36" s="53">
        <v>0</v>
      </c>
      <c r="E36" s="53">
        <v>0</v>
      </c>
      <c r="F36" s="53">
        <v>0</v>
      </c>
      <c r="G36" s="53">
        <v>170185</v>
      </c>
      <c r="H36" s="53">
        <v>0</v>
      </c>
      <c r="I36" s="53"/>
      <c r="J36" s="53"/>
      <c r="K36" s="53"/>
      <c r="L36" s="53"/>
      <c r="M36" s="41"/>
      <c r="N36" s="53">
        <v>266165</v>
      </c>
      <c r="O36" s="56">
        <f>SUM(B36:N36)</f>
        <v>495543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152594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46474</v>
      </c>
      <c r="O37" s="53">
        <v>199067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34290</v>
      </c>
      <c r="O38" s="53">
        <v>34290</v>
      </c>
      <c r="P38" s="18">
        <f>SUM(P31:P35)</f>
        <v>0.80391824555655167</v>
      </c>
      <c r="Q38" s="18"/>
      <c r="R38" s="3"/>
      <c r="S38" s="7" t="s">
        <v>50</v>
      </c>
      <c r="T38" s="19">
        <f>O45/1000</f>
        <v>180.14516</v>
      </c>
      <c r="U38" s="7"/>
    </row>
    <row r="39" spans="1:48" ht="16" x14ac:dyDescent="0.2">
      <c r="A39" s="5" t="s">
        <v>17</v>
      </c>
      <c r="B39" s="53">
        <v>370385</v>
      </c>
      <c r="C39" s="56">
        <f>SUM(C31:C38)</f>
        <v>991065</v>
      </c>
      <c r="D39" s="71">
        <f>SUM(D31:D38)</f>
        <v>392002</v>
      </c>
      <c r="E39" s="53">
        <v>11887</v>
      </c>
      <c r="F39" s="53">
        <v>64030</v>
      </c>
      <c r="G39" s="56">
        <f>SUM(G31:G38)</f>
        <v>378608</v>
      </c>
      <c r="H39" s="53">
        <v>0</v>
      </c>
      <c r="I39" s="53"/>
      <c r="J39" s="53"/>
      <c r="K39" s="53"/>
      <c r="L39" s="53"/>
      <c r="M39" s="41"/>
      <c r="N39" s="56">
        <f>SUM(N31:N38)</f>
        <v>1509352</v>
      </c>
      <c r="O39" s="56">
        <f>SUM(O31:O38)</f>
        <v>3717327</v>
      </c>
      <c r="P39" s="3"/>
      <c r="Q39" s="3"/>
      <c r="R39" s="3"/>
      <c r="S39" s="7" t="s">
        <v>51</v>
      </c>
      <c r="T39" s="20">
        <f>O41/1000</f>
        <v>728.9</v>
      </c>
      <c r="U39" s="15">
        <f>P41</f>
        <v>0.19608175444344822</v>
      </c>
    </row>
    <row r="40" spans="1:48" x14ac:dyDescent="0.2">
      <c r="O40" s="11"/>
      <c r="S40" s="7" t="s">
        <v>52</v>
      </c>
      <c r="T40" s="20">
        <f>O35/1000</f>
        <v>270.26499999999999</v>
      </c>
      <c r="U40" s="16">
        <f>P35</f>
        <v>7.2704123150855435E-2</v>
      </c>
    </row>
    <row r="41" spans="1:48" ht="16" x14ac:dyDescent="0.2">
      <c r="A41" s="21" t="s">
        <v>53</v>
      </c>
      <c r="B41" s="22">
        <f>B38+B37+B36</f>
        <v>209811</v>
      </c>
      <c r="C41" s="22">
        <f t="shared" ref="C41:O41" si="0">C38+C37+C36</f>
        <v>1976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170185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346929</v>
      </c>
      <c r="O41" s="22">
        <f t="shared" si="0"/>
        <v>728900</v>
      </c>
      <c r="P41" s="17">
        <f>O41/O$39</f>
        <v>0.19608175444344822</v>
      </c>
      <c r="Q41" s="17" t="s">
        <v>54</v>
      </c>
      <c r="R41" s="7"/>
      <c r="S41" s="7" t="s">
        <v>55</v>
      </c>
      <c r="T41" s="20">
        <f>O33/1000</f>
        <v>171.155</v>
      </c>
      <c r="U41" s="15">
        <f>P33</f>
        <v>4.604249236077429E-2</v>
      </c>
    </row>
    <row r="42" spans="1:48" ht="16" x14ac:dyDescent="0.2">
      <c r="A42" s="23" t="s">
        <v>56</v>
      </c>
      <c r="B42" s="22"/>
      <c r="C42" s="24">
        <f>C39+C23+C10</f>
        <v>995609</v>
      </c>
      <c r="D42" s="24">
        <f>D39+J23+J10</f>
        <v>450232</v>
      </c>
      <c r="E42" s="24">
        <f t="shared" ref="E42:L42" si="2">E39+E23+E10</f>
        <v>11887</v>
      </c>
      <c r="F42" s="24">
        <f t="shared" si="2"/>
        <v>64030</v>
      </c>
      <c r="G42" s="24">
        <f t="shared" si="2"/>
        <v>888063</v>
      </c>
      <c r="H42" s="24">
        <f t="shared" si="2"/>
        <v>0</v>
      </c>
      <c r="I42" s="24">
        <f t="shared" si="2"/>
        <v>0</v>
      </c>
      <c r="J42" s="24">
        <f>J39+J23</f>
        <v>58230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1501200.16</v>
      </c>
      <c r="O42" s="25">
        <f>SUM(C42:N42)</f>
        <v>3969251.16</v>
      </c>
      <c r="P42" s="7"/>
      <c r="Q42" s="7"/>
      <c r="R42" s="7"/>
      <c r="S42" s="7" t="s">
        <v>37</v>
      </c>
      <c r="T42" s="20">
        <f>O31/1000</f>
        <v>64.271000000000001</v>
      </c>
      <c r="U42" s="15">
        <f>P31</f>
        <v>1.7289573933097626E-2</v>
      </c>
    </row>
    <row r="43" spans="1:48" ht="16" x14ac:dyDescent="0.2">
      <c r="A43" s="23" t="s">
        <v>57</v>
      </c>
      <c r="B43" s="22"/>
      <c r="C43" s="17">
        <f t="shared" ref="C43:N43" si="4">C42/$O42</f>
        <v>0.2508304362377512</v>
      </c>
      <c r="D43" s="17">
        <f t="shared" si="4"/>
        <v>0.11342995992221364</v>
      </c>
      <c r="E43" s="17">
        <f t="shared" si="4"/>
        <v>2.9947714369377419E-3</v>
      </c>
      <c r="F43" s="17">
        <f t="shared" si="4"/>
        <v>1.6131506276362718E-2</v>
      </c>
      <c r="G43" s="17">
        <f t="shared" si="4"/>
        <v>0.22373565294870379</v>
      </c>
      <c r="H43" s="17">
        <f t="shared" si="4"/>
        <v>0</v>
      </c>
      <c r="I43" s="17">
        <f t="shared" si="4"/>
        <v>0</v>
      </c>
      <c r="J43" s="17">
        <f t="shared" si="4"/>
        <v>1.4670273472943949E-2</v>
      </c>
      <c r="K43" s="17">
        <f t="shared" si="4"/>
        <v>0</v>
      </c>
      <c r="L43" s="17">
        <f t="shared" si="4"/>
        <v>0</v>
      </c>
      <c r="M43" s="17">
        <f t="shared" si="4"/>
        <v>0</v>
      </c>
      <c r="N43" s="17">
        <f t="shared" si="4"/>
        <v>0.37820739970508693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1645.5519999999999</v>
      </c>
      <c r="U43" s="16">
        <f>P32</f>
        <v>0.44267076853879145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837.18399999999997</v>
      </c>
      <c r="U44" s="16">
        <f>P34</f>
        <v>0.22521128757303299</v>
      </c>
    </row>
    <row r="45" spans="1:48" ht="16" x14ac:dyDescent="0.2">
      <c r="A45" s="6" t="s">
        <v>60</v>
      </c>
      <c r="B45" s="6">
        <f>B23-B39</f>
        <v>59397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120748.16</v>
      </c>
      <c r="O45" s="25">
        <f>B45+N45</f>
        <v>180145.16</v>
      </c>
      <c r="P45" s="7"/>
      <c r="Q45" s="7"/>
      <c r="R45" s="7"/>
      <c r="S45" s="7" t="s">
        <v>61</v>
      </c>
      <c r="T45" s="20">
        <f>SUM(T39:T44)</f>
        <v>3717.3270000000002</v>
      </c>
      <c r="U45" s="15">
        <f>SUM(U39:U44)</f>
        <v>1</v>
      </c>
    </row>
    <row r="46" spans="1:48" ht="16" x14ac:dyDescent="0.2">
      <c r="A46" s="6"/>
      <c r="B46" s="60">
        <f>B45/B23</f>
        <v>0.13820262365571381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J48" s="28"/>
      <c r="K48" s="28"/>
      <c r="L48" s="28"/>
      <c r="M48" s="28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 t="s">
        <v>31</v>
      </c>
      <c r="C49" s="6" t="s">
        <v>38</v>
      </c>
      <c r="D49" s="6" t="s">
        <v>4</v>
      </c>
      <c r="E49" s="6" t="s">
        <v>5</v>
      </c>
      <c r="F49" s="6" t="s">
        <v>32</v>
      </c>
      <c r="G49" s="6" t="s">
        <v>131</v>
      </c>
      <c r="H49" s="6" t="s">
        <v>7</v>
      </c>
      <c r="I49" s="6" t="s">
        <v>6</v>
      </c>
      <c r="J49" s="6" t="s">
        <v>8</v>
      </c>
      <c r="K49" s="6" t="s">
        <v>9</v>
      </c>
      <c r="L49" s="6" t="s">
        <v>10</v>
      </c>
      <c r="M49" s="6" t="s">
        <v>10</v>
      </c>
      <c r="N49" s="6" t="s">
        <v>11</v>
      </c>
      <c r="O49" s="6" t="s">
        <v>34</v>
      </c>
      <c r="P49" s="27"/>
      <c r="Q49" s="27"/>
      <c r="R49" s="27" t="s">
        <v>133</v>
      </c>
      <c r="S49" s="2" t="s">
        <v>147</v>
      </c>
      <c r="AB49" s="27"/>
      <c r="AC49" s="27"/>
      <c r="AD49" s="27"/>
      <c r="AE49" s="27"/>
      <c r="AF49" s="27"/>
      <c r="AG49" s="27"/>
      <c r="AH49" s="27"/>
      <c r="AI49" s="4"/>
      <c r="AJ49" s="28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 t="s">
        <v>150</v>
      </c>
      <c r="B50" s="53"/>
      <c r="C50" s="53">
        <f>602*9.95+1186.2*9.77</f>
        <v>17579.074000000001</v>
      </c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>
        <v>28100</v>
      </c>
      <c r="O50" s="53">
        <f>SUM(C50:N50)</f>
        <v>45679.074000000001</v>
      </c>
      <c r="P50" s="53"/>
      <c r="Q50" s="53"/>
      <c r="R50" s="53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ht="16" x14ac:dyDescent="0.2">
      <c r="A51" s="4" t="s">
        <v>153</v>
      </c>
      <c r="B51" s="53"/>
      <c r="C51" s="53">
        <f>8881/0.83*9.95+3391/0.925*10.76</f>
        <v>145910.57837837836</v>
      </c>
      <c r="D51" s="53">
        <f>49216*7.56+7.8*2555</f>
        <v>392001.95999999996</v>
      </c>
      <c r="E51" s="53">
        <f>320*12.8</f>
        <v>4096</v>
      </c>
      <c r="F51" s="53"/>
      <c r="G51" s="53"/>
      <c r="H51" s="53"/>
      <c r="I51" s="53"/>
      <c r="J51" s="53"/>
      <c r="K51" s="53"/>
      <c r="L51" s="53"/>
      <c r="M51" s="53"/>
      <c r="N51" s="53">
        <v>493000</v>
      </c>
      <c r="O51" s="53">
        <f>SUM(C51:N51)</f>
        <v>1035008.5383783784</v>
      </c>
      <c r="P51" s="27"/>
      <c r="Q51" s="27"/>
      <c r="R51" s="27">
        <v>4192</v>
      </c>
      <c r="S51" s="2">
        <v>39600</v>
      </c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9">
        <f t="shared" ref="B52:N52" si="5">SUM(B50:B51)</f>
        <v>0</v>
      </c>
      <c r="C52" s="9">
        <f t="shared" si="5"/>
        <v>163489.65237837835</v>
      </c>
      <c r="D52" s="9">
        <f t="shared" si="5"/>
        <v>392001.95999999996</v>
      </c>
      <c r="E52" s="9">
        <f t="shared" si="5"/>
        <v>4096</v>
      </c>
      <c r="F52" s="9">
        <f t="shared" si="5"/>
        <v>0</v>
      </c>
      <c r="G52" s="9">
        <f t="shared" si="5"/>
        <v>0</v>
      </c>
      <c r="H52" s="9">
        <f t="shared" si="5"/>
        <v>0</v>
      </c>
      <c r="I52" s="9">
        <f t="shared" si="5"/>
        <v>0</v>
      </c>
      <c r="J52" s="9">
        <f t="shared" si="5"/>
        <v>0</v>
      </c>
      <c r="K52" s="9">
        <f t="shared" si="5"/>
        <v>0</v>
      </c>
      <c r="L52" s="9">
        <f t="shared" si="5"/>
        <v>0</v>
      </c>
      <c r="M52" s="9">
        <f t="shared" si="5"/>
        <v>0</v>
      </c>
      <c r="N52" s="9">
        <f t="shared" si="5"/>
        <v>521100</v>
      </c>
      <c r="O52" s="9">
        <f>SUM(O50:O51)</f>
        <v>1080687.6123783784</v>
      </c>
      <c r="P52" s="27"/>
      <c r="Q52" s="27"/>
      <c r="R52" s="4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 t="s">
        <v>134</v>
      </c>
      <c r="B54" s="7"/>
      <c r="C54" s="29"/>
      <c r="D54" s="29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 t="s">
        <v>135</v>
      </c>
      <c r="B55" s="2" t="s">
        <v>136</v>
      </c>
      <c r="C55" s="6" t="s">
        <v>98</v>
      </c>
      <c r="D55" s="6"/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 t="s">
        <v>137</v>
      </c>
      <c r="B56" s="67"/>
      <c r="C56" s="6">
        <f>B56*1000*9.1</f>
        <v>0</v>
      </c>
      <c r="D56" s="6"/>
      <c r="E56" s="9"/>
      <c r="F56" s="10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 t="s">
        <v>138</v>
      </c>
      <c r="B57" s="67"/>
      <c r="C57" s="6">
        <f>B57*1000*9.8</f>
        <v>0</v>
      </c>
      <c r="D57" s="32">
        <f>SUM(C56:C58)</f>
        <v>0</v>
      </c>
      <c r="E57" s="9"/>
      <c r="F57" s="10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</row>
    <row r="58" spans="1:48" ht="16" x14ac:dyDescent="0.2">
      <c r="A58" s="5" t="s">
        <v>139</v>
      </c>
      <c r="B58" s="67"/>
      <c r="C58" s="6">
        <f>B58*1000*5.9</f>
        <v>0</v>
      </c>
      <c r="E58" s="29"/>
      <c r="F58" s="29"/>
      <c r="G58" s="29"/>
      <c r="H58" s="29"/>
      <c r="I58" s="29"/>
      <c r="J58" s="29"/>
      <c r="K58" s="29"/>
      <c r="L58" s="6"/>
      <c r="M58" s="30"/>
      <c r="N58" s="7"/>
      <c r="O58" s="6"/>
      <c r="P58" s="15"/>
      <c r="Q58" s="7"/>
      <c r="R58" s="7"/>
    </row>
    <row r="59" spans="1:48" ht="16" x14ac:dyDescent="0.2">
      <c r="A59" s="5" t="s">
        <v>140</v>
      </c>
      <c r="B59" s="67"/>
      <c r="C59" s="6">
        <f>B59*1000*9.95</f>
        <v>0</v>
      </c>
      <c r="E59" s="29"/>
      <c r="F59" s="29"/>
      <c r="G59" s="29"/>
      <c r="H59" s="29"/>
      <c r="I59" s="29"/>
      <c r="J59" s="29"/>
      <c r="K59" s="29"/>
      <c r="L59" s="6"/>
      <c r="M59" s="30"/>
      <c r="N59" s="7"/>
      <c r="O59" s="6"/>
      <c r="P59" s="15"/>
      <c r="Q59" s="7"/>
      <c r="R59" s="7"/>
    </row>
    <row r="60" spans="1:48" ht="16" x14ac:dyDescent="0.2">
      <c r="A60" s="5" t="s">
        <v>141</v>
      </c>
      <c r="B60" s="67"/>
      <c r="C60" s="6">
        <f>B60*1000*9.95</f>
        <v>0</v>
      </c>
      <c r="D60" s="11">
        <f>SUM(C59:C61)</f>
        <v>0</v>
      </c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</row>
    <row r="61" spans="1:48" ht="16" x14ac:dyDescent="0.2">
      <c r="A61" s="5" t="s">
        <v>142</v>
      </c>
      <c r="B61" s="67"/>
      <c r="C61" s="6">
        <f>B61*1000*10.6</f>
        <v>0</v>
      </c>
      <c r="E61" s="29"/>
      <c r="F61" s="29"/>
      <c r="G61" s="29"/>
      <c r="H61" s="29"/>
      <c r="I61" s="29"/>
      <c r="J61" s="29"/>
      <c r="K61" s="29"/>
      <c r="L61" s="6"/>
      <c r="M61" s="30"/>
      <c r="N61" s="7"/>
      <c r="O61" s="6"/>
      <c r="P61" s="15"/>
      <c r="Q61" s="7"/>
      <c r="R61" s="7"/>
    </row>
    <row r="62" spans="1:48" ht="16" x14ac:dyDescent="0.2">
      <c r="C62" s="11">
        <f>SUM(C56:C61)</f>
        <v>0</v>
      </c>
      <c r="E62" s="7"/>
      <c r="F62" s="7"/>
      <c r="G62" s="7"/>
      <c r="H62" s="7"/>
      <c r="I62" s="7"/>
      <c r="J62" s="7"/>
      <c r="K62" s="7"/>
      <c r="L62" s="6"/>
      <c r="M62" s="30"/>
      <c r="N62" s="7"/>
      <c r="O62" s="6"/>
      <c r="P62" s="15"/>
      <c r="Q62" s="7"/>
      <c r="R62" s="7"/>
    </row>
    <row r="63" spans="1:48" x14ac:dyDescent="0.2"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 t="s">
        <v>58</v>
      </c>
      <c r="B65" s="6">
        <v>216970</v>
      </c>
      <c r="C65" s="9">
        <f>B65-B41</f>
        <v>7159</v>
      </c>
      <c r="D65" s="27"/>
      <c r="E65" s="27"/>
      <c r="F65" s="27"/>
      <c r="G65" s="27"/>
      <c r="H65" s="27"/>
      <c r="I65" s="27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 t="s">
        <v>91</v>
      </c>
      <c r="B66" s="6"/>
      <c r="C66" s="27">
        <f>C65/2</f>
        <v>3579.5</v>
      </c>
      <c r="D66" s="27"/>
      <c r="E66" s="28"/>
      <c r="F66" s="28"/>
      <c r="G66" s="27"/>
      <c r="H66" s="28"/>
      <c r="I66" s="28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 t="s">
        <v>89</v>
      </c>
      <c r="B67" s="6"/>
      <c r="C67" s="27"/>
      <c r="D67" s="27"/>
      <c r="E67" s="27"/>
      <c r="F67" s="27"/>
      <c r="G67" s="27"/>
      <c r="H67" s="27"/>
      <c r="I67" s="27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>
        <v>286825</v>
      </c>
      <c r="B68" s="6" t="s">
        <v>90</v>
      </c>
      <c r="C68" s="27"/>
      <c r="D68" s="27"/>
      <c r="E68" s="27"/>
      <c r="F68" s="27"/>
      <c r="G68" s="27"/>
      <c r="H68" s="27"/>
      <c r="I68" s="27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27"/>
      <c r="B69" s="4"/>
      <c r="C69" s="27"/>
      <c r="D69" s="27"/>
      <c r="E69" s="27"/>
      <c r="F69" s="27"/>
      <c r="G69" s="27"/>
      <c r="H69" s="27"/>
      <c r="I69" s="27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27" t="s">
        <v>100</v>
      </c>
      <c r="B70" s="4"/>
      <c r="C70" s="27"/>
      <c r="D70" s="27"/>
      <c r="E70" s="27"/>
      <c r="F70" s="27"/>
      <c r="G70" s="27"/>
      <c r="H70" s="27"/>
      <c r="I70" s="27"/>
      <c r="J70" s="7"/>
      <c r="K70" s="7"/>
      <c r="L70" s="7"/>
      <c r="M70" s="7"/>
      <c r="N70" s="7"/>
      <c r="O70" s="7"/>
      <c r="P70" s="6"/>
      <c r="Q70" s="30"/>
      <c r="R70" s="7"/>
      <c r="S70" s="7"/>
      <c r="T70" s="6"/>
      <c r="U70" s="31"/>
    </row>
    <row r="71" spans="1:21" ht="16" x14ac:dyDescent="0.2">
      <c r="A71" s="27">
        <v>2647</v>
      </c>
      <c r="B71" s="27" t="s">
        <v>101</v>
      </c>
      <c r="C71" s="27"/>
      <c r="D71" s="27"/>
      <c r="E71" s="27"/>
      <c r="F71" s="27"/>
      <c r="G71" s="27"/>
      <c r="H71" s="27"/>
      <c r="I71" s="27"/>
      <c r="J71" s="7"/>
      <c r="K71" s="7"/>
      <c r="L71" s="7"/>
      <c r="M71" s="7"/>
      <c r="N71" s="7"/>
      <c r="O71" s="7"/>
      <c r="P71" s="32"/>
      <c r="Q71" s="36"/>
      <c r="R71" s="7"/>
      <c r="S71" s="37"/>
      <c r="T71" s="32"/>
      <c r="U71" s="36"/>
    </row>
    <row r="72" spans="1:21" x14ac:dyDescent="0.2">
      <c r="A72" s="27"/>
      <c r="B72" s="4"/>
      <c r="C72" s="27"/>
      <c r="D72" s="27"/>
      <c r="E72" s="27"/>
      <c r="F72" s="27"/>
      <c r="G72" s="27"/>
      <c r="H72" s="27"/>
      <c r="I72" s="27"/>
    </row>
    <row r="73" spans="1:21" x14ac:dyDescent="0.2">
      <c r="A73" s="27" t="s">
        <v>102</v>
      </c>
      <c r="B73" s="4"/>
      <c r="C73" s="27"/>
      <c r="D73" s="27"/>
      <c r="E73" s="28"/>
      <c r="F73" s="28"/>
      <c r="G73" s="27"/>
      <c r="H73" s="28"/>
      <c r="I73" s="28"/>
    </row>
    <row r="74" spans="1:21" x14ac:dyDescent="0.2">
      <c r="A74" s="27" t="s">
        <v>103</v>
      </c>
      <c r="B74" s="4">
        <v>2648</v>
      </c>
      <c r="C74" s="27" t="s">
        <v>104</v>
      </c>
      <c r="D74" s="27"/>
      <c r="E74" s="28"/>
      <c r="F74" s="28"/>
      <c r="G74" s="27"/>
      <c r="H74" s="28"/>
      <c r="I74" s="28"/>
    </row>
    <row r="75" spans="1:21" x14ac:dyDescent="0.2">
      <c r="A75" s="7"/>
      <c r="B75" s="7"/>
      <c r="C75" s="29"/>
      <c r="D75" s="29"/>
      <c r="E75" s="29"/>
      <c r="F75" s="29"/>
      <c r="G75" s="29" t="s">
        <v>129</v>
      </c>
      <c r="H75" s="29"/>
      <c r="I75" s="29"/>
    </row>
    <row r="76" spans="1:21" x14ac:dyDescent="0.2">
      <c r="A76" s="7" t="s">
        <v>91</v>
      </c>
      <c r="B76" s="7" t="s">
        <v>105</v>
      </c>
      <c r="C76" s="29" t="s">
        <v>112</v>
      </c>
      <c r="D76" s="29" t="s">
        <v>98</v>
      </c>
      <c r="E76" s="29"/>
      <c r="F76" s="29"/>
      <c r="G76" s="2" t="s">
        <v>130</v>
      </c>
      <c r="H76" s="29" t="s">
        <v>105</v>
      </c>
      <c r="I76" s="29"/>
    </row>
    <row r="77" spans="1:21" x14ac:dyDescent="0.2">
      <c r="A77" s="7" t="s">
        <v>106</v>
      </c>
      <c r="B77" s="9">
        <v>1561</v>
      </c>
      <c r="C77" s="19">
        <v>8.3000000000000007</v>
      </c>
      <c r="D77" s="9">
        <f>B77*C77</f>
        <v>12956.300000000001</v>
      </c>
      <c r="E77" s="29"/>
      <c r="F77" s="29"/>
      <c r="G77" s="47">
        <v>0.371</v>
      </c>
      <c r="H77" s="29">
        <f>D77*G77</f>
        <v>4806.7873</v>
      </c>
      <c r="I77" s="29"/>
    </row>
    <row r="78" spans="1:21" ht="16" x14ac:dyDescent="0.2">
      <c r="A78" s="23" t="s">
        <v>107</v>
      </c>
      <c r="B78" s="9">
        <v>46093</v>
      </c>
      <c r="C78" s="19">
        <v>7.6</v>
      </c>
      <c r="D78" s="9">
        <f>B78*C78</f>
        <v>350306.8</v>
      </c>
      <c r="E78" s="29">
        <f>D77+D78</f>
        <v>363263.1</v>
      </c>
      <c r="F78" s="29"/>
      <c r="G78" s="47">
        <v>0.33500000000000002</v>
      </c>
      <c r="H78" s="29">
        <f>D78*G78</f>
        <v>117352.77800000001</v>
      </c>
      <c r="I78" s="29"/>
    </row>
    <row r="79" spans="1:21" x14ac:dyDescent="0.2">
      <c r="A79" s="2" t="s">
        <v>111</v>
      </c>
      <c r="B79" s="9">
        <v>280</v>
      </c>
      <c r="D79" s="9">
        <f>B79*12.9</f>
        <v>3612</v>
      </c>
      <c r="E79" s="7"/>
      <c r="F79" s="7"/>
      <c r="G79" s="7">
        <v>0.23400000000000001</v>
      </c>
      <c r="H79" s="29">
        <f t="shared" ref="H79:H83" si="6">D79*G79</f>
        <v>845.20800000000008</v>
      </c>
      <c r="I79" s="7"/>
    </row>
    <row r="80" spans="1:21" x14ac:dyDescent="0.2">
      <c r="A80" s="7" t="s">
        <v>108</v>
      </c>
      <c r="B80" s="9">
        <v>2160</v>
      </c>
      <c r="C80" s="48">
        <v>11.56</v>
      </c>
      <c r="D80" s="9">
        <f>B80*C80</f>
        <v>24969.600000000002</v>
      </c>
      <c r="E80" s="7"/>
      <c r="F80" s="7"/>
      <c r="G80" s="7">
        <v>0.27400000000000002</v>
      </c>
      <c r="H80" s="29">
        <f t="shared" si="6"/>
        <v>6841.6704000000009</v>
      </c>
      <c r="I80" s="7"/>
    </row>
    <row r="81" spans="1:9" x14ac:dyDescent="0.2">
      <c r="A81" s="7" t="s">
        <v>93</v>
      </c>
      <c r="B81" s="9">
        <v>3411</v>
      </c>
      <c r="C81" s="48">
        <v>11.56</v>
      </c>
      <c r="D81" s="9">
        <f t="shared" ref="D81:D83" si="7">B81*C81</f>
        <v>39431.160000000003</v>
      </c>
      <c r="E81" s="34"/>
      <c r="F81" s="34"/>
      <c r="G81" s="7">
        <v>0.26700000000000002</v>
      </c>
      <c r="H81" s="29">
        <f t="shared" si="6"/>
        <v>10528.119720000002</v>
      </c>
      <c r="I81" s="34"/>
    </row>
    <row r="82" spans="1:9" x14ac:dyDescent="0.2">
      <c r="A82" s="7" t="s">
        <v>109</v>
      </c>
      <c r="B82" s="9">
        <v>2612</v>
      </c>
      <c r="C82" s="48">
        <v>11.56</v>
      </c>
      <c r="D82" s="9">
        <f t="shared" si="7"/>
        <v>30194.720000000001</v>
      </c>
      <c r="E82" s="6"/>
      <c r="F82" s="6"/>
      <c r="G82" s="7">
        <v>0.27400000000000002</v>
      </c>
      <c r="H82" s="29">
        <f t="shared" si="6"/>
        <v>8273.3532800000012</v>
      </c>
      <c r="I82" s="6"/>
    </row>
    <row r="83" spans="1:9" x14ac:dyDescent="0.2">
      <c r="A83" s="7" t="s">
        <v>110</v>
      </c>
      <c r="B83" s="9">
        <v>764</v>
      </c>
      <c r="C83" s="48">
        <v>11.56</v>
      </c>
      <c r="D83" s="9">
        <f t="shared" si="7"/>
        <v>8831.84</v>
      </c>
      <c r="E83" s="6"/>
      <c r="F83" s="6"/>
      <c r="G83" s="7">
        <v>0.27400000000000002</v>
      </c>
      <c r="H83" s="29">
        <f t="shared" si="6"/>
        <v>2419.92416</v>
      </c>
      <c r="I83" s="6"/>
    </row>
    <row r="84" spans="1:9" x14ac:dyDescent="0.2">
      <c r="A84" s="7"/>
      <c r="B84" s="9"/>
      <c r="C84" s="46"/>
      <c r="D84" s="9">
        <f>SUM(D77:D83)</f>
        <v>470302.42</v>
      </c>
      <c r="E84" s="6"/>
      <c r="F84" s="6"/>
      <c r="G84" s="6"/>
      <c r="H84" s="6">
        <f>SUM(H77:H83)</f>
        <v>151067.84086000003</v>
      </c>
      <c r="I84" s="6"/>
    </row>
    <row r="85" spans="1:9" x14ac:dyDescent="0.2"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7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7" t="s">
        <v>115</v>
      </c>
      <c r="B87" s="6"/>
      <c r="C87" s="6"/>
      <c r="D87" s="6" t="s">
        <v>112</v>
      </c>
      <c r="E87" s="6"/>
      <c r="F87" s="6"/>
      <c r="G87" s="6"/>
      <c r="H87" s="6"/>
      <c r="I87" s="6"/>
    </row>
    <row r="88" spans="1:9" x14ac:dyDescent="0.2">
      <c r="A88" s="7" t="s">
        <v>113</v>
      </c>
      <c r="B88" s="6">
        <v>459819</v>
      </c>
      <c r="C88" s="6">
        <v>3513000</v>
      </c>
      <c r="D88" s="13">
        <f>C88/B88</f>
        <v>7.6399626809679457</v>
      </c>
      <c r="E88" s="6"/>
      <c r="F88" s="6"/>
      <c r="G88" s="6"/>
      <c r="H88" s="6"/>
      <c r="I88" s="6"/>
    </row>
    <row r="89" spans="1:9" ht="16" x14ac:dyDescent="0.2">
      <c r="A89" s="7" t="s">
        <v>114</v>
      </c>
      <c r="B89" s="23">
        <v>968</v>
      </c>
      <c r="C89" s="23">
        <v>8000</v>
      </c>
      <c r="D89" s="13">
        <f>C89/B89</f>
        <v>8.2644628099173545</v>
      </c>
      <c r="E89" s="32"/>
      <c r="F89" s="32"/>
      <c r="G89" s="32"/>
      <c r="H89" s="32"/>
      <c r="I89" s="32"/>
    </row>
    <row r="92" spans="1:9" x14ac:dyDescent="0.2">
      <c r="A92" s="2" t="s">
        <v>128</v>
      </c>
      <c r="B92" s="2" t="s">
        <v>126</v>
      </c>
      <c r="C92" s="2" t="s">
        <v>127</v>
      </c>
    </row>
    <row r="93" spans="1:9" x14ac:dyDescent="0.2">
      <c r="A93" s="45" t="s">
        <v>118</v>
      </c>
      <c r="B93" s="9">
        <v>449550.1</v>
      </c>
      <c r="C93" s="9">
        <v>1210974</v>
      </c>
      <c r="E93" s="9">
        <v>1534682</v>
      </c>
      <c r="F93" s="9">
        <v>2417356</v>
      </c>
    </row>
    <row r="94" spans="1:9" x14ac:dyDescent="0.2">
      <c r="A94" s="45" t="s">
        <v>119</v>
      </c>
      <c r="B94" s="9">
        <v>82363.240000000005</v>
      </c>
      <c r="C94" s="9">
        <v>241839.7</v>
      </c>
      <c r="E94" s="9">
        <v>736330.1</v>
      </c>
      <c r="F94" s="9">
        <v>831053.7</v>
      </c>
    </row>
    <row r="95" spans="1:9" x14ac:dyDescent="0.2">
      <c r="A95" s="45" t="s">
        <v>120</v>
      </c>
      <c r="B95" s="9">
        <v>150316.79999999999</v>
      </c>
      <c r="C95" s="9">
        <v>151236</v>
      </c>
      <c r="E95" s="9">
        <v>760650.3</v>
      </c>
      <c r="F95" s="9">
        <v>760708.1</v>
      </c>
    </row>
    <row r="96" spans="1:9" x14ac:dyDescent="0.2">
      <c r="A96" s="45" t="s">
        <v>59</v>
      </c>
      <c r="B96" s="9">
        <v>169605</v>
      </c>
      <c r="C96" s="9">
        <v>626504.6</v>
      </c>
      <c r="E96" s="9">
        <v>13585.55</v>
      </c>
      <c r="F96" s="9">
        <v>684233.8</v>
      </c>
    </row>
    <row r="97" spans="1:6" x14ac:dyDescent="0.2">
      <c r="A97" s="45" t="s">
        <v>121</v>
      </c>
      <c r="B97" s="9">
        <v>41695.26</v>
      </c>
      <c r="C97" s="9">
        <v>174414.3</v>
      </c>
      <c r="E97" s="9">
        <v>22791.39</v>
      </c>
      <c r="F97" s="9">
        <v>121140.6</v>
      </c>
    </row>
    <row r="98" spans="1:6" x14ac:dyDescent="0.2">
      <c r="A98" s="45" t="s">
        <v>122</v>
      </c>
      <c r="B98" s="9">
        <v>4683.4139999999998</v>
      </c>
      <c r="C98" s="9">
        <v>15652.12</v>
      </c>
      <c r="E98" s="9">
        <v>1293.1120000000001</v>
      </c>
      <c r="F98" s="9">
        <v>16175.67</v>
      </c>
    </row>
    <row r="99" spans="1:6" x14ac:dyDescent="0.2">
      <c r="A99" s="45" t="s">
        <v>123</v>
      </c>
      <c r="B99" s="9">
        <v>920.7079</v>
      </c>
      <c r="C99" s="9">
        <v>2445.643</v>
      </c>
      <c r="E99" s="9">
        <v>6.9810590000000001</v>
      </c>
      <c r="F99" s="9">
        <v>4181.1450000000004</v>
      </c>
    </row>
    <row r="100" spans="1:6" x14ac:dyDescent="0.2">
      <c r="A100" s="45" t="s">
        <v>124</v>
      </c>
      <c r="B100" s="9">
        <v>0</v>
      </c>
      <c r="C100" s="9">
        <v>0</v>
      </c>
      <c r="E100" s="9">
        <v>0</v>
      </c>
      <c r="F100" s="9">
        <v>0</v>
      </c>
    </row>
    <row r="101" spans="1:6" x14ac:dyDescent="0.2">
      <c r="A101" s="45" t="s">
        <v>125</v>
      </c>
      <c r="B101" s="9">
        <v>0</v>
      </c>
      <c r="C101" s="9">
        <v>0</v>
      </c>
      <c r="E101" s="9">
        <v>0</v>
      </c>
      <c r="F101" s="9">
        <v>0</v>
      </c>
    </row>
  </sheetData>
  <pageMargins left="0.75" right="0.75" top="0.75" bottom="0.5" header="0.5" footer="0.75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2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1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27*0.95</f>
        <v>25.65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3">
        <v>10817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65">
        <v>295034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SUM(B4:B9)</f>
        <v>305876.65000000002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1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62">
        <f>15200</f>
        <v>15200</v>
      </c>
      <c r="C18" s="62">
        <v>100</v>
      </c>
      <c r="D18" s="53">
        <v>0</v>
      </c>
      <c r="E18" s="53">
        <v>0</v>
      </c>
      <c r="F18" s="53">
        <v>0</v>
      </c>
      <c r="G18" s="62">
        <v>13600</v>
      </c>
      <c r="H18" s="53">
        <v>0</v>
      </c>
      <c r="I18" s="53"/>
      <c r="J18" s="53"/>
      <c r="K18" s="53"/>
      <c r="L18" s="53"/>
      <c r="M18" s="53"/>
      <c r="N18" s="53"/>
      <c r="O18" s="62">
        <f>SUM(C18:N18)</f>
        <v>13700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319.45335999999998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5670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6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116.03736000000001</v>
      </c>
      <c r="U22" s="15">
        <f>N43</f>
        <v>0.36323725003236779</v>
      </c>
    </row>
    <row r="23" spans="1:21" ht="16" x14ac:dyDescent="0.2">
      <c r="A23" s="8" t="s">
        <v>17</v>
      </c>
      <c r="B23" s="53">
        <f>SUM(B17:B22)</f>
        <v>20870</v>
      </c>
      <c r="C23" s="62">
        <f>SUM(C17:C22)</f>
        <v>100</v>
      </c>
      <c r="D23" s="53">
        <v>0</v>
      </c>
      <c r="E23" s="53">
        <v>0</v>
      </c>
      <c r="F23" s="53">
        <v>0</v>
      </c>
      <c r="G23" s="62">
        <f>SUM(G17:G22)</f>
        <v>13600</v>
      </c>
      <c r="H23" s="53">
        <v>0</v>
      </c>
      <c r="I23" s="53"/>
      <c r="J23" s="53"/>
      <c r="K23" s="53"/>
      <c r="L23" s="53"/>
      <c r="M23" s="53"/>
      <c r="N23" s="53"/>
      <c r="O23" s="62">
        <f>SUM(O17:O22)</f>
        <v>13700</v>
      </c>
      <c r="P23" s="3"/>
      <c r="Q23" s="3"/>
      <c r="R23" s="3"/>
      <c r="S23" s="48" t="s">
        <v>131</v>
      </c>
      <c r="T23" s="13">
        <f>G42/1000</f>
        <v>123.12</v>
      </c>
      <c r="U23" s="16">
        <f>G43</f>
        <v>0.38540837385463722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6.1920000000000002</v>
      </c>
      <c r="U25" s="15">
        <f>F43</f>
        <v>1.9383111199706902E-2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1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50"/>
      <c r="P30" s="52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2966</v>
      </c>
      <c r="D31" s="53">
        <v>0</v>
      </c>
      <c r="E31" s="53">
        <v>0</v>
      </c>
      <c r="F31" s="53">
        <v>307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5427</v>
      </c>
      <c r="O31" s="53">
        <v>8700</v>
      </c>
      <c r="P31" s="17">
        <f>O31/O$39</f>
        <v>2.7666651826317029E-2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6">
        <f>552+(B39-B37-B36-2631-956-552)*552/(2631+956+552)</f>
        <v>1373.6651365064026</v>
      </c>
      <c r="C32" s="71">
        <v>2700</v>
      </c>
      <c r="D32" s="53">
        <v>0</v>
      </c>
      <c r="E32" s="53">
        <v>0</v>
      </c>
      <c r="F32" s="53">
        <v>0</v>
      </c>
      <c r="G32" s="71">
        <v>79458</v>
      </c>
      <c r="H32" s="53">
        <v>0</v>
      </c>
      <c r="I32" s="53"/>
      <c r="J32" s="53"/>
      <c r="K32" s="53"/>
      <c r="L32" s="53"/>
      <c r="M32" s="41"/>
      <c r="N32" s="72">
        <v>36648</v>
      </c>
      <c r="O32" s="56">
        <f>SUM(B32:N32)</f>
        <v>120179.6651365064</v>
      </c>
      <c r="P32" s="17">
        <f>O32/O$39</f>
        <v>0.38218033930288431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6">
        <f>2631+(B39-B37-B36-2631-956-552)*2631/(2631+956+552)</f>
        <v>6547.3061125875811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10716</v>
      </c>
      <c r="O33" s="56">
        <f>SUM(B33:N33)</f>
        <v>17263.306112587583</v>
      </c>
      <c r="P33" s="17">
        <f>O33/O$39</f>
        <v>5.4898606849205882E-2</v>
      </c>
      <c r="Q33" s="18" t="s">
        <v>42</v>
      </c>
      <c r="R33" s="3"/>
      <c r="S33" s="48" t="s">
        <v>38</v>
      </c>
      <c r="T33" s="13">
        <f>C42/1000</f>
        <v>74.103999999999999</v>
      </c>
      <c r="U33" s="16">
        <f>C43</f>
        <v>0.23197126491328812</v>
      </c>
    </row>
    <row r="34" spans="1:48" ht="16" x14ac:dyDescent="0.2">
      <c r="A34" s="5" t="s">
        <v>43</v>
      </c>
      <c r="B34" s="53">
        <v>0</v>
      </c>
      <c r="C34" s="53">
        <v>65410</v>
      </c>
      <c r="D34" s="53">
        <v>0</v>
      </c>
      <c r="E34" s="53">
        <v>0</v>
      </c>
      <c r="F34" s="53">
        <v>5885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147</v>
      </c>
      <c r="O34" s="53">
        <v>71442</v>
      </c>
      <c r="P34" s="17">
        <f>O34/O$39</f>
        <v>0.22719091261790128</v>
      </c>
      <c r="Q34" s="18" t="s">
        <v>44</v>
      </c>
      <c r="R34" s="3"/>
      <c r="S34" s="3"/>
      <c r="T34" s="13">
        <f>SUM(T22:T33)</f>
        <v>319.45336000000003</v>
      </c>
      <c r="U34" s="15">
        <f>SUM(U22:U33)</f>
        <v>1</v>
      </c>
    </row>
    <row r="35" spans="1:48" ht="16" x14ac:dyDescent="0.2">
      <c r="A35" s="5" t="s">
        <v>45</v>
      </c>
      <c r="B35" s="56">
        <f>956+(B39-B37-B36-2631-956-552)*956/(2631+956+552)</f>
        <v>2379.0287509060163</v>
      </c>
      <c r="C35" s="56">
        <f>C39-C36-C34-C32-C31</f>
        <v>2172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10554</v>
      </c>
      <c r="O35" s="56">
        <f>SUM(B35:N35)</f>
        <v>15105.028750906016</v>
      </c>
      <c r="P35" s="17">
        <f>O35/O$39</f>
        <v>4.8035123135382204E-2</v>
      </c>
      <c r="Q35" s="18" t="s">
        <v>46</v>
      </c>
      <c r="R35" s="18"/>
    </row>
    <row r="36" spans="1:48" ht="16" x14ac:dyDescent="0.2">
      <c r="A36" s="5" t="s">
        <v>47</v>
      </c>
      <c r="B36" s="62">
        <f>500+100</f>
        <v>600</v>
      </c>
      <c r="C36" s="53">
        <v>756</v>
      </c>
      <c r="D36" s="53">
        <v>0</v>
      </c>
      <c r="E36" s="53">
        <v>0</v>
      </c>
      <c r="F36" s="53">
        <v>0</v>
      </c>
      <c r="G36" s="53">
        <v>30062</v>
      </c>
      <c r="H36" s="53">
        <v>0</v>
      </c>
      <c r="I36" s="53"/>
      <c r="J36" s="53"/>
      <c r="K36" s="53"/>
      <c r="L36" s="53"/>
      <c r="M36" s="41"/>
      <c r="N36" s="53">
        <v>32686</v>
      </c>
      <c r="O36" s="56">
        <f>SUM(B36:N36)</f>
        <v>64104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62">
        <f>5500+900</f>
        <v>6400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3507</v>
      </c>
      <c r="O37" s="56">
        <f>SUM(B37:N37)</f>
        <v>9907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7757</v>
      </c>
      <c r="O38" s="53">
        <v>7757</v>
      </c>
      <c r="P38" s="18">
        <f>SUM(P31:P35)</f>
        <v>0.73997163373169061</v>
      </c>
      <c r="Q38" s="18"/>
      <c r="R38" s="3"/>
      <c r="S38" s="7" t="s">
        <v>50</v>
      </c>
      <c r="T38" s="19">
        <f>O45/1000</f>
        <v>12.16536</v>
      </c>
      <c r="U38" s="7"/>
    </row>
    <row r="39" spans="1:48" ht="16" x14ac:dyDescent="0.2">
      <c r="A39" s="5" t="s">
        <v>17</v>
      </c>
      <c r="B39" s="62">
        <v>17300</v>
      </c>
      <c r="C39" s="53">
        <v>74004</v>
      </c>
      <c r="D39" s="53">
        <v>0</v>
      </c>
      <c r="E39" s="53">
        <v>0</v>
      </c>
      <c r="F39" s="53">
        <v>6192</v>
      </c>
      <c r="G39" s="56">
        <f>SUM(G31:G38)</f>
        <v>109520</v>
      </c>
      <c r="H39" s="53">
        <v>0</v>
      </c>
      <c r="I39" s="53"/>
      <c r="J39" s="53"/>
      <c r="K39" s="53"/>
      <c r="L39" s="53"/>
      <c r="M39" s="41"/>
      <c r="N39" s="56">
        <f>SUM(N31:N38)</f>
        <v>107442</v>
      </c>
      <c r="O39" s="56">
        <f>SUM(O31:O38)</f>
        <v>314458</v>
      </c>
      <c r="P39" s="3"/>
      <c r="Q39" s="3"/>
      <c r="R39" s="3"/>
      <c r="S39" s="7" t="s">
        <v>51</v>
      </c>
      <c r="T39" s="20">
        <f>O41/1000</f>
        <v>81.768000000000001</v>
      </c>
      <c r="U39" s="15">
        <f>P41</f>
        <v>0.26002836626830927</v>
      </c>
    </row>
    <row r="40" spans="1:48" x14ac:dyDescent="0.2">
      <c r="B40" s="11">
        <f>B39-B37-B36-B35-B33-B32</f>
        <v>0</v>
      </c>
      <c r="O40" s="11"/>
      <c r="S40" s="7" t="s">
        <v>52</v>
      </c>
      <c r="T40" s="20">
        <f>O35/1000</f>
        <v>15.105028750906015</v>
      </c>
      <c r="U40" s="16">
        <f>P35</f>
        <v>4.8035123135382204E-2</v>
      </c>
    </row>
    <row r="41" spans="1:48" ht="16" x14ac:dyDescent="0.2">
      <c r="A41" s="21" t="s">
        <v>53</v>
      </c>
      <c r="B41" s="22">
        <f>B38+B37+B36</f>
        <v>7000</v>
      </c>
      <c r="C41" s="22">
        <f t="shared" ref="C41:O41" si="0">C38+C37+C36</f>
        <v>756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30062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43950</v>
      </c>
      <c r="O41" s="22">
        <f t="shared" si="0"/>
        <v>81768</v>
      </c>
      <c r="P41" s="17">
        <f>O41/O$39</f>
        <v>0.26002836626830927</v>
      </c>
      <c r="Q41" s="17" t="s">
        <v>54</v>
      </c>
      <c r="R41" s="7"/>
      <c r="S41" s="7" t="s">
        <v>55</v>
      </c>
      <c r="T41" s="20">
        <f>O33/1000</f>
        <v>17.263306112587582</v>
      </c>
      <c r="U41" s="15">
        <f>P33</f>
        <v>5.4898606849205882E-2</v>
      </c>
    </row>
    <row r="42" spans="1:48" ht="16" x14ac:dyDescent="0.2">
      <c r="A42" s="23" t="s">
        <v>56</v>
      </c>
      <c r="B42" s="22"/>
      <c r="C42" s="24">
        <f>C39+C23+C10</f>
        <v>74104</v>
      </c>
      <c r="D42" s="24">
        <f t="shared" ref="D42:L42" si="2">D39+D23+D10</f>
        <v>0</v>
      </c>
      <c r="E42" s="24">
        <f t="shared" si="2"/>
        <v>0</v>
      </c>
      <c r="F42" s="24">
        <f t="shared" si="2"/>
        <v>6192</v>
      </c>
      <c r="G42" s="24">
        <f t="shared" si="2"/>
        <v>123120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116037.36</v>
      </c>
      <c r="O42" s="25">
        <f>SUM(C42:N42)</f>
        <v>319453.36</v>
      </c>
      <c r="P42" s="7"/>
      <c r="Q42" s="7"/>
      <c r="R42" s="7"/>
      <c r="S42" s="7" t="s">
        <v>37</v>
      </c>
      <c r="T42" s="20">
        <f>O31/1000</f>
        <v>8.6999999999999993</v>
      </c>
      <c r="U42" s="15">
        <f>P31</f>
        <v>2.7666651826317029E-2</v>
      </c>
    </row>
    <row r="43" spans="1:48" ht="16" x14ac:dyDescent="0.2">
      <c r="A43" s="23" t="s">
        <v>57</v>
      </c>
      <c r="B43" s="22"/>
      <c r="C43" s="17">
        <f t="shared" ref="C43:N43" si="4">C42/$O42</f>
        <v>0.23197126491328812</v>
      </c>
      <c r="D43" s="17">
        <f t="shared" si="4"/>
        <v>0</v>
      </c>
      <c r="E43" s="17">
        <f t="shared" si="4"/>
        <v>0</v>
      </c>
      <c r="F43" s="17">
        <f t="shared" si="4"/>
        <v>1.9383111199706902E-2</v>
      </c>
      <c r="G43" s="17">
        <f t="shared" si="4"/>
        <v>0.38540837385463722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0.36323725003236779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120.1796651365064</v>
      </c>
      <c r="U43" s="16">
        <f>P32</f>
        <v>0.38218033930288431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71.441999999999993</v>
      </c>
      <c r="U44" s="16">
        <f>P34</f>
        <v>0.22719091261790128</v>
      </c>
    </row>
    <row r="45" spans="1:48" ht="16" x14ac:dyDescent="0.2">
      <c r="A45" s="6" t="s">
        <v>60</v>
      </c>
      <c r="B45" s="6">
        <f>B23-B39</f>
        <v>3570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8595.36</v>
      </c>
      <c r="O45" s="25">
        <f>B45+N45</f>
        <v>12165.36</v>
      </c>
      <c r="P45" s="7"/>
      <c r="Q45" s="7"/>
      <c r="R45" s="7"/>
      <c r="S45" s="7" t="s">
        <v>61</v>
      </c>
      <c r="T45" s="20">
        <f>SUM(T39:T44)</f>
        <v>314.45800000000003</v>
      </c>
      <c r="U45" s="15">
        <f>SUM(U39:U44)</f>
        <v>1</v>
      </c>
    </row>
    <row r="46" spans="1:48" ht="16" x14ac:dyDescent="0.2">
      <c r="A46" s="6"/>
      <c r="B46" s="60">
        <f>B45/B23</f>
        <v>0.17105893627216098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8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4"/>
      <c r="B49" s="6" t="s">
        <v>31</v>
      </c>
      <c r="C49" s="6" t="s">
        <v>38</v>
      </c>
      <c r="D49" s="6" t="s">
        <v>4</v>
      </c>
      <c r="E49" s="6" t="s">
        <v>5</v>
      </c>
      <c r="F49" s="6" t="s">
        <v>32</v>
      </c>
      <c r="G49" s="6" t="s">
        <v>131</v>
      </c>
      <c r="H49" s="6" t="s">
        <v>7</v>
      </c>
      <c r="I49" s="6" t="s">
        <v>6</v>
      </c>
      <c r="J49" s="6" t="s">
        <v>8</v>
      </c>
      <c r="K49" s="6" t="s">
        <v>9</v>
      </c>
      <c r="L49" s="6" t="s">
        <v>10</v>
      </c>
      <c r="M49" s="6" t="s">
        <v>10</v>
      </c>
      <c r="N49" s="6" t="s">
        <v>11</v>
      </c>
      <c r="O49" s="6" t="s">
        <v>34</v>
      </c>
      <c r="P49" s="27"/>
      <c r="Q49" s="27"/>
      <c r="R49" s="27" t="s">
        <v>133</v>
      </c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6" x14ac:dyDescent="0.2">
      <c r="A50" s="4" t="s">
        <v>143</v>
      </c>
      <c r="B50" s="53"/>
      <c r="C50" s="53">
        <v>2700</v>
      </c>
      <c r="D50" s="53"/>
      <c r="E50" s="66"/>
      <c r="F50" s="53"/>
      <c r="G50" s="53">
        <v>79458</v>
      </c>
      <c r="I50" s="53"/>
      <c r="J50" s="53"/>
      <c r="K50" s="53"/>
      <c r="L50" s="63"/>
      <c r="M50" s="53"/>
      <c r="N50" s="53">
        <v>20252</v>
      </c>
      <c r="O50" s="53">
        <f>SUM(B50:N50)</f>
        <v>102410</v>
      </c>
      <c r="P50" s="53"/>
      <c r="Q50" s="53"/>
      <c r="R50" s="53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9"/>
      <c r="D51" s="9"/>
      <c r="E51" s="9"/>
      <c r="F51" s="9"/>
      <c r="G51" s="9"/>
      <c r="H51" s="9"/>
      <c r="I51" s="9"/>
      <c r="J51" s="9"/>
      <c r="K51" s="9"/>
      <c r="L51" s="9"/>
      <c r="M51" s="27"/>
      <c r="N51" s="9"/>
      <c r="O51" s="9"/>
      <c r="P51" s="27"/>
      <c r="Q51" s="27"/>
      <c r="R51" s="4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9"/>
      <c r="D52" s="9"/>
      <c r="E52" s="9"/>
      <c r="F52" s="9"/>
      <c r="G52" s="9"/>
      <c r="H52" s="9"/>
      <c r="I52" s="9"/>
      <c r="J52" s="9"/>
      <c r="K52" s="9"/>
      <c r="L52" s="9"/>
      <c r="M52" s="27"/>
      <c r="N52" s="9"/>
      <c r="O52" s="9"/>
      <c r="P52" s="27"/>
      <c r="Q52" s="27"/>
      <c r="R52" s="4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9"/>
      <c r="D53" s="9"/>
      <c r="E53" s="9"/>
      <c r="F53" s="9"/>
      <c r="G53" s="9"/>
      <c r="H53" s="9"/>
      <c r="I53" s="9"/>
      <c r="J53" s="9"/>
      <c r="K53" s="9"/>
      <c r="L53" s="9"/>
      <c r="M53" s="27"/>
      <c r="N53" s="9"/>
      <c r="O53" s="9"/>
      <c r="P53" s="27"/>
      <c r="Q53" s="27"/>
      <c r="R53" s="4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 t="s">
        <v>134</v>
      </c>
      <c r="B54" s="7"/>
      <c r="C54" s="29"/>
      <c r="D54" s="29"/>
      <c r="E54" s="9"/>
      <c r="F54" s="9"/>
      <c r="G54" s="9"/>
      <c r="H54" s="9"/>
      <c r="I54" s="9"/>
      <c r="J54" s="9"/>
      <c r="K54" s="9"/>
      <c r="L54" s="9"/>
      <c r="M54" s="27"/>
      <c r="N54" s="9"/>
      <c r="O54" s="9"/>
      <c r="P54" s="27"/>
      <c r="Q54" s="27"/>
      <c r="R54" s="4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 t="s">
        <v>135</v>
      </c>
      <c r="B55" s="2" t="s">
        <v>136</v>
      </c>
      <c r="C55" s="6" t="s">
        <v>98</v>
      </c>
      <c r="D55" s="6"/>
      <c r="E55" s="9"/>
      <c r="F55" s="9"/>
      <c r="G55" s="9"/>
      <c r="H55" s="9"/>
      <c r="I55" s="9"/>
      <c r="J55" s="9"/>
      <c r="K55" s="9"/>
      <c r="L55" s="9"/>
      <c r="M55" s="27"/>
      <c r="N55" s="9"/>
      <c r="O55" s="9"/>
      <c r="P55" s="27"/>
      <c r="Q55" s="27"/>
      <c r="R55" s="4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 t="s">
        <v>137</v>
      </c>
      <c r="B56" s="67">
        <v>1.7</v>
      </c>
      <c r="C56" s="6">
        <f>B56*1000*9.1</f>
        <v>15470</v>
      </c>
      <c r="D56" s="6"/>
      <c r="E56" s="9"/>
      <c r="F56" s="10"/>
      <c r="G56" s="9"/>
      <c r="H56" s="9"/>
      <c r="I56" s="9"/>
      <c r="J56" s="9"/>
      <c r="K56" s="9"/>
      <c r="L56" s="9"/>
      <c r="M56" s="27"/>
      <c r="N56" s="9"/>
      <c r="O56" s="9"/>
      <c r="P56" s="27"/>
      <c r="Q56" s="27"/>
      <c r="R56" s="4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5" t="s">
        <v>138</v>
      </c>
      <c r="B57" s="67">
        <v>6</v>
      </c>
      <c r="C57" s="6">
        <f>B57*1000*9.8</f>
        <v>58800.000000000007</v>
      </c>
      <c r="D57" s="32">
        <f>SUM(C56:C58)</f>
        <v>74270</v>
      </c>
      <c r="E57" s="9"/>
      <c r="F57" s="10"/>
      <c r="G57" s="9"/>
      <c r="H57" s="9"/>
      <c r="I57" s="9"/>
      <c r="J57" s="9"/>
      <c r="K57" s="9"/>
      <c r="L57" s="9"/>
      <c r="M57" s="27"/>
      <c r="N57" s="9"/>
      <c r="O57" s="9"/>
      <c r="P57" s="27"/>
      <c r="Q57" s="27"/>
      <c r="R57" s="4"/>
      <c r="S57" s="7"/>
      <c r="T57" s="6"/>
      <c r="U57" s="31"/>
    </row>
    <row r="58" spans="1:48" ht="16" x14ac:dyDescent="0.2">
      <c r="A58" s="5" t="s">
        <v>139</v>
      </c>
      <c r="B58" s="67"/>
      <c r="C58" s="6">
        <f>B58*1000*5.9</f>
        <v>0</v>
      </c>
      <c r="E58" s="29"/>
      <c r="F58" s="29"/>
      <c r="G58" s="29"/>
      <c r="H58" s="29"/>
      <c r="I58" s="29" t="s">
        <v>154</v>
      </c>
      <c r="J58" s="29"/>
      <c r="K58" s="29"/>
      <c r="L58" s="6"/>
      <c r="M58" s="30"/>
      <c r="N58" s="7"/>
      <c r="O58" s="6"/>
      <c r="P58" s="15"/>
      <c r="Q58" s="7"/>
      <c r="R58" s="7"/>
      <c r="S58" s="7"/>
      <c r="T58" s="6"/>
      <c r="U58" s="31"/>
    </row>
    <row r="59" spans="1:48" ht="16" x14ac:dyDescent="0.2">
      <c r="A59" s="5" t="s">
        <v>140</v>
      </c>
      <c r="B59" s="67">
        <v>0.4</v>
      </c>
      <c r="C59" s="6">
        <f>B59*1000*9.95</f>
        <v>3979.9999999999995</v>
      </c>
      <c r="E59" s="29"/>
      <c r="F59" s="29"/>
      <c r="G59" s="29"/>
      <c r="H59" s="29"/>
      <c r="I59" s="29">
        <v>63375</v>
      </c>
      <c r="J59" s="29"/>
      <c r="K59" s="29"/>
      <c r="L59" s="6"/>
      <c r="M59" s="30"/>
      <c r="N59" s="7"/>
      <c r="O59" s="6"/>
      <c r="P59" s="15"/>
      <c r="Q59" s="7"/>
      <c r="R59" s="7"/>
      <c r="S59" s="7"/>
      <c r="T59" s="6"/>
      <c r="U59" s="31"/>
    </row>
    <row r="60" spans="1:48" ht="16" x14ac:dyDescent="0.2">
      <c r="A60" s="5" t="s">
        <v>141</v>
      </c>
      <c r="B60" s="67">
        <v>0.4</v>
      </c>
      <c r="C60" s="6">
        <f>B60*1000*9.95</f>
        <v>3979.9999999999995</v>
      </c>
      <c r="D60" s="11">
        <f>SUM(C59:C61)</f>
        <v>7959.9999999999991</v>
      </c>
      <c r="E60" s="29"/>
      <c r="F60" s="29"/>
      <c r="G60" s="29"/>
      <c r="H60" s="29"/>
      <c r="I60" s="29"/>
      <c r="J60" s="29"/>
      <c r="K60" s="29"/>
      <c r="L60" s="6"/>
      <c r="M60" s="30"/>
      <c r="N60" s="7"/>
      <c r="O60" s="6"/>
      <c r="P60" s="15"/>
      <c r="Q60" s="7"/>
      <c r="R60" s="7"/>
      <c r="S60" s="7"/>
      <c r="T60" s="6"/>
      <c r="U60" s="31"/>
    </row>
    <row r="61" spans="1:48" ht="16" x14ac:dyDescent="0.2">
      <c r="A61" s="5" t="s">
        <v>142</v>
      </c>
      <c r="B61" s="67"/>
      <c r="C61" s="6">
        <f>B61*1000*10.6</f>
        <v>0</v>
      </c>
      <c r="E61" s="29"/>
      <c r="F61" s="29"/>
      <c r="G61" s="29"/>
      <c r="H61" s="29"/>
      <c r="I61" s="29" t="s">
        <v>155</v>
      </c>
      <c r="J61" s="29"/>
      <c r="K61" s="29"/>
      <c r="L61" s="6"/>
      <c r="M61" s="30"/>
      <c r="N61" s="7"/>
      <c r="O61" s="6"/>
      <c r="P61" s="15"/>
      <c r="Q61" s="7"/>
      <c r="R61" s="7"/>
      <c r="S61" s="7"/>
      <c r="T61" s="32"/>
      <c r="U61" s="33"/>
    </row>
    <row r="62" spans="1:48" ht="16" x14ac:dyDescent="0.2">
      <c r="C62" s="11">
        <f>SUM(C56:C61)</f>
        <v>82230</v>
      </c>
      <c r="E62" s="7"/>
      <c r="F62" s="7"/>
      <c r="G62" s="7"/>
      <c r="H62" s="7"/>
      <c r="I62" s="6">
        <f>O32-I59</f>
        <v>56804.665136506403</v>
      </c>
      <c r="J62" s="7"/>
      <c r="K62" s="7"/>
      <c r="L62" s="6"/>
      <c r="M62" s="30"/>
      <c r="N62" s="7"/>
      <c r="O62" s="6"/>
      <c r="P62" s="15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3" enableFormatConditionsCalculation="0"/>
  <dimension ref="A1:AV70"/>
  <sheetViews>
    <sheetView workbookViewId="0">
      <selection activeCell="U35" sqref="U35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62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9*0.95</f>
        <v>8.5499999999999989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3">
        <v>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62">
        <f>SUM(B4:B9)</f>
        <v>8.5499999999999989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62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62">
        <v>8400</v>
      </c>
      <c r="C18" s="62">
        <v>800</v>
      </c>
      <c r="D18" s="53">
        <v>0</v>
      </c>
      <c r="E18" s="53">
        <v>0</v>
      </c>
      <c r="F18" s="53">
        <v>0</v>
      </c>
      <c r="G18" s="62">
        <v>8136</v>
      </c>
      <c r="H18" s="53">
        <v>0</v>
      </c>
      <c r="I18" s="53"/>
      <c r="J18" s="53"/>
      <c r="K18" s="53"/>
      <c r="L18" s="53"/>
      <c r="M18" s="53"/>
      <c r="N18" s="53"/>
      <c r="O18" s="62">
        <f>SUM(C18:N18)</f>
        <v>8936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89.486800000000002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26.7408</v>
      </c>
      <c r="U22" s="15">
        <f>N43</f>
        <v>0.29882396062883015</v>
      </c>
    </row>
    <row r="23" spans="1:21" ht="16" x14ac:dyDescent="0.2">
      <c r="A23" s="8" t="s">
        <v>17</v>
      </c>
      <c r="B23" s="62">
        <f>SUM(B17:B22)</f>
        <v>8400</v>
      </c>
      <c r="C23" s="62">
        <f>SUM(C17:C22)</f>
        <v>800</v>
      </c>
      <c r="D23" s="53">
        <v>0</v>
      </c>
      <c r="E23" s="53">
        <v>0</v>
      </c>
      <c r="F23" s="53">
        <v>0</v>
      </c>
      <c r="G23" s="62">
        <f>SUM(G17:G22)</f>
        <v>8136</v>
      </c>
      <c r="H23" s="53">
        <v>0</v>
      </c>
      <c r="I23" s="53"/>
      <c r="J23" s="53"/>
      <c r="K23" s="53"/>
      <c r="L23" s="53"/>
      <c r="M23" s="53"/>
      <c r="N23" s="53"/>
      <c r="O23" s="62">
        <f>SUM(O17:O22)</f>
        <v>8936</v>
      </c>
      <c r="P23" s="3"/>
      <c r="Q23" s="3"/>
      <c r="R23" s="3"/>
      <c r="S23" s="48" t="s">
        <v>131</v>
      </c>
      <c r="T23" s="13">
        <f>G42/1000</f>
        <v>23.667000000000002</v>
      </c>
      <c r="U23" s="16">
        <f>G43</f>
        <v>0.26447476052333974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3.1360000000000001</v>
      </c>
      <c r="U25" s="15">
        <f>F43</f>
        <v>3.5044274686322451E-2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62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39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5070</v>
      </c>
      <c r="D31" s="53">
        <v>0</v>
      </c>
      <c r="E31" s="53">
        <v>0</v>
      </c>
      <c r="F31" s="53">
        <v>525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3771</v>
      </c>
      <c r="O31" s="53">
        <v>9366</v>
      </c>
      <c r="P31" s="17">
        <f>O31/O$39</f>
        <v>0.10919902063658622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0</v>
      </c>
      <c r="C32" s="53">
        <v>65</v>
      </c>
      <c r="D32" s="53">
        <v>0</v>
      </c>
      <c r="E32" s="53">
        <v>0</v>
      </c>
      <c r="F32" s="53">
        <v>0</v>
      </c>
      <c r="G32" s="53">
        <v>50</v>
      </c>
      <c r="H32" s="53">
        <v>0</v>
      </c>
      <c r="I32" s="53"/>
      <c r="J32" s="53"/>
      <c r="K32" s="53"/>
      <c r="L32" s="53"/>
      <c r="M32" s="41"/>
      <c r="N32" s="56">
        <v>1450</v>
      </c>
      <c r="O32" s="56">
        <f>SUM(B32:N32)</f>
        <v>1565</v>
      </c>
      <c r="P32" s="17">
        <f>O32/O$39</f>
        <v>1.8246473125801563E-2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62">
        <v>2200</v>
      </c>
      <c r="C33" s="53">
        <v>498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3079</v>
      </c>
      <c r="O33" s="56">
        <f t="shared" ref="O33:O35" si="0">SUM(B33:N33)</f>
        <v>5777</v>
      </c>
      <c r="P33" s="17">
        <f>O33/O$39</f>
        <v>6.7354552873965259E-2</v>
      </c>
      <c r="Q33" s="18" t="s">
        <v>42</v>
      </c>
      <c r="R33" s="3"/>
      <c r="S33" s="48" t="s">
        <v>38</v>
      </c>
      <c r="T33" s="13">
        <f>C42/1000</f>
        <v>35.942999999999998</v>
      </c>
      <c r="U33" s="16">
        <f>C43</f>
        <v>0.40165700416150762</v>
      </c>
    </row>
    <row r="34" spans="1:48" ht="16" x14ac:dyDescent="0.2">
      <c r="A34" s="5" t="s">
        <v>43</v>
      </c>
      <c r="B34" s="53">
        <v>0</v>
      </c>
      <c r="C34" s="53">
        <v>29232</v>
      </c>
      <c r="D34" s="53">
        <v>0</v>
      </c>
      <c r="E34" s="53">
        <v>0</v>
      </c>
      <c r="F34" s="53">
        <v>2611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41</v>
      </c>
      <c r="O34" s="53">
        <f t="shared" si="0"/>
        <v>31884</v>
      </c>
      <c r="P34" s="17">
        <f>O34/O$39</f>
        <v>0.37173837005946136</v>
      </c>
      <c r="Q34" s="18" t="s">
        <v>44</v>
      </c>
      <c r="R34" s="3"/>
      <c r="S34" s="3"/>
      <c r="T34" s="13">
        <f>SUM(T22:T33)</f>
        <v>89.486800000000002</v>
      </c>
      <c r="U34" s="15">
        <f>SUM(U22:U33)</f>
        <v>0.99999999999999989</v>
      </c>
    </row>
    <row r="35" spans="1:48" ht="16" x14ac:dyDescent="0.2">
      <c r="A35" s="5" t="s">
        <v>45</v>
      </c>
      <c r="B35" s="62">
        <v>1900</v>
      </c>
      <c r="C35" s="53">
        <v>149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2792</v>
      </c>
      <c r="O35" s="56">
        <f t="shared" si="0"/>
        <v>4841</v>
      </c>
      <c r="P35" s="17">
        <f>O35/O$39</f>
        <v>5.6441646263262216E-2</v>
      </c>
      <c r="Q35" s="18" t="s">
        <v>46</v>
      </c>
      <c r="R35" s="18"/>
    </row>
    <row r="36" spans="1:48" ht="16" x14ac:dyDescent="0.2">
      <c r="A36" s="5" t="s">
        <v>47</v>
      </c>
      <c r="B36" s="62">
        <v>1200</v>
      </c>
      <c r="C36" s="53">
        <v>129</v>
      </c>
      <c r="D36" s="53">
        <v>0</v>
      </c>
      <c r="E36" s="53">
        <v>0</v>
      </c>
      <c r="F36" s="53">
        <v>0</v>
      </c>
      <c r="G36" s="53">
        <v>15481</v>
      </c>
      <c r="H36" s="53">
        <v>0</v>
      </c>
      <c r="I36" s="53"/>
      <c r="J36" s="53"/>
      <c r="K36" s="53"/>
      <c r="L36" s="53"/>
      <c r="M36" s="41"/>
      <c r="N36" s="53">
        <v>10387</v>
      </c>
      <c r="O36" s="56">
        <f>SUM(B36:N36)</f>
        <v>27197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62">
        <f>1700+200</f>
        <v>1900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931</v>
      </c>
      <c r="O37" s="56">
        <f>SUM(B37:N37)</f>
        <v>2831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53"/>
      <c r="N38" s="53">
        <v>2309</v>
      </c>
      <c r="O38" s="53">
        <v>2309</v>
      </c>
      <c r="P38" s="18">
        <f>SUM(P31:P35)</f>
        <v>0.6229800629590766</v>
      </c>
      <c r="Q38" s="18"/>
      <c r="R38" s="3"/>
      <c r="S38" s="7" t="s">
        <v>50</v>
      </c>
      <c r="T38" s="19">
        <f>O45/1000</f>
        <v>3.1808000000000001</v>
      </c>
      <c r="U38" s="7"/>
    </row>
    <row r="39" spans="1:48" ht="16" x14ac:dyDescent="0.2">
      <c r="A39" s="5" t="s">
        <v>17</v>
      </c>
      <c r="B39" s="62">
        <f>SUM(B31:B38)</f>
        <v>7200</v>
      </c>
      <c r="C39" s="53">
        <f>SUM(C31:C38)</f>
        <v>35143</v>
      </c>
      <c r="D39" s="53">
        <v>0</v>
      </c>
      <c r="E39" s="53">
        <v>0</v>
      </c>
      <c r="F39" s="53">
        <v>3136</v>
      </c>
      <c r="G39" s="53">
        <v>15531</v>
      </c>
      <c r="H39" s="53">
        <v>0</v>
      </c>
      <c r="I39" s="53"/>
      <c r="J39" s="53"/>
      <c r="K39" s="53"/>
      <c r="L39" s="53"/>
      <c r="M39" s="41"/>
      <c r="N39" s="56">
        <f>SUM(N31:N38)</f>
        <v>24760</v>
      </c>
      <c r="O39" s="56">
        <f>SUM(O31:O38)</f>
        <v>85770</v>
      </c>
      <c r="P39" s="40"/>
      <c r="Q39" s="3"/>
      <c r="R39" s="3"/>
      <c r="S39" s="7" t="s">
        <v>51</v>
      </c>
      <c r="T39" s="20">
        <f>O41/1000</f>
        <v>32.337000000000003</v>
      </c>
      <c r="U39" s="15">
        <f>P41</f>
        <v>0.3770199370409234</v>
      </c>
    </row>
    <row r="40" spans="1:48" x14ac:dyDescent="0.2">
      <c r="B40" s="11"/>
      <c r="C40" s="11"/>
      <c r="D40" s="11"/>
      <c r="E40" s="11"/>
      <c r="F40" s="11"/>
      <c r="O40" s="11"/>
      <c r="S40" s="7" t="s">
        <v>52</v>
      </c>
      <c r="T40" s="20">
        <f>O35/1000</f>
        <v>4.8410000000000002</v>
      </c>
      <c r="U40" s="16">
        <f>P35</f>
        <v>5.6441646263262216E-2</v>
      </c>
    </row>
    <row r="41" spans="1:48" ht="16" x14ac:dyDescent="0.2">
      <c r="A41" s="21" t="s">
        <v>53</v>
      </c>
      <c r="B41" s="22">
        <f>B38+B37+B36</f>
        <v>3100</v>
      </c>
      <c r="C41" s="22">
        <f t="shared" ref="C41:O41" si="1">C38+C37+C36</f>
        <v>129</v>
      </c>
      <c r="D41" s="22">
        <f t="shared" si="1"/>
        <v>0</v>
      </c>
      <c r="E41" s="22">
        <f t="shared" si="1"/>
        <v>0</v>
      </c>
      <c r="F41" s="22">
        <f t="shared" si="1"/>
        <v>0</v>
      </c>
      <c r="G41" s="22">
        <f t="shared" si="1"/>
        <v>15481</v>
      </c>
      <c r="H41" s="22">
        <f t="shared" si="1"/>
        <v>0</v>
      </c>
      <c r="I41" s="22">
        <f t="shared" si="1"/>
        <v>0</v>
      </c>
      <c r="J41" s="22">
        <f t="shared" si="1"/>
        <v>0</v>
      </c>
      <c r="K41" s="22">
        <f t="shared" si="1"/>
        <v>0</v>
      </c>
      <c r="L41" s="22">
        <f t="shared" si="1"/>
        <v>0</v>
      </c>
      <c r="M41" s="22">
        <f t="shared" ref="M41" si="2">M38+M37+M36</f>
        <v>0</v>
      </c>
      <c r="N41" s="22">
        <f t="shared" si="1"/>
        <v>13627</v>
      </c>
      <c r="O41" s="22">
        <f t="shared" si="1"/>
        <v>32337</v>
      </c>
      <c r="P41" s="17">
        <f>O41/O$39</f>
        <v>0.3770199370409234</v>
      </c>
      <c r="Q41" s="17" t="s">
        <v>54</v>
      </c>
      <c r="R41" s="7"/>
      <c r="S41" s="7" t="s">
        <v>55</v>
      </c>
      <c r="T41" s="20">
        <f>O33/1000</f>
        <v>5.7770000000000001</v>
      </c>
      <c r="U41" s="15">
        <f>P33</f>
        <v>6.7354552873965259E-2</v>
      </c>
    </row>
    <row r="42" spans="1:48" ht="16" x14ac:dyDescent="0.2">
      <c r="A42" s="23" t="s">
        <v>56</v>
      </c>
      <c r="B42" s="22"/>
      <c r="C42" s="24">
        <f>C39+C23+C10</f>
        <v>35943</v>
      </c>
      <c r="D42" s="24">
        <f t="shared" ref="D42:L42" si="3">D39+D23+D10</f>
        <v>0</v>
      </c>
      <c r="E42" s="24">
        <f t="shared" si="3"/>
        <v>0</v>
      </c>
      <c r="F42" s="24">
        <f t="shared" si="3"/>
        <v>3136</v>
      </c>
      <c r="G42" s="24">
        <f t="shared" si="3"/>
        <v>23667</v>
      </c>
      <c r="H42" s="24">
        <f t="shared" si="3"/>
        <v>0</v>
      </c>
      <c r="I42" s="24">
        <f t="shared" si="3"/>
        <v>0</v>
      </c>
      <c r="J42" s="24">
        <f t="shared" si="3"/>
        <v>0</v>
      </c>
      <c r="K42" s="24">
        <f t="shared" si="3"/>
        <v>0</v>
      </c>
      <c r="L42" s="24">
        <f t="shared" si="3"/>
        <v>0</v>
      </c>
      <c r="M42" s="24">
        <f t="shared" ref="M42" si="4">M39+M23+M10</f>
        <v>0</v>
      </c>
      <c r="N42" s="24">
        <f>N39+N23-B6+N45</f>
        <v>26740.799999999999</v>
      </c>
      <c r="O42" s="25">
        <f>SUM(C42:N42)</f>
        <v>89486.8</v>
      </c>
      <c r="P42" s="7"/>
      <c r="Q42" s="7"/>
      <c r="R42" s="7"/>
      <c r="S42" s="7" t="s">
        <v>37</v>
      </c>
      <c r="T42" s="20">
        <f>O31/1000</f>
        <v>9.3659999999999997</v>
      </c>
      <c r="U42" s="15">
        <f>P31</f>
        <v>0.10919902063658622</v>
      </c>
    </row>
    <row r="43" spans="1:48" ht="16" x14ac:dyDescent="0.2">
      <c r="A43" s="23" t="s">
        <v>57</v>
      </c>
      <c r="B43" s="22"/>
      <c r="C43" s="17">
        <f t="shared" ref="C43:N43" si="5">C42/$O42</f>
        <v>0.40165700416150762</v>
      </c>
      <c r="D43" s="17">
        <f t="shared" si="5"/>
        <v>0</v>
      </c>
      <c r="E43" s="17">
        <f t="shared" si="5"/>
        <v>0</v>
      </c>
      <c r="F43" s="17">
        <f t="shared" si="5"/>
        <v>3.5044274686322451E-2</v>
      </c>
      <c r="G43" s="17">
        <f t="shared" si="5"/>
        <v>0.26447476052333974</v>
      </c>
      <c r="H43" s="17">
        <f t="shared" si="5"/>
        <v>0</v>
      </c>
      <c r="I43" s="17">
        <f t="shared" si="5"/>
        <v>0</v>
      </c>
      <c r="J43" s="17">
        <f t="shared" si="5"/>
        <v>0</v>
      </c>
      <c r="K43" s="17">
        <f t="shared" si="5"/>
        <v>0</v>
      </c>
      <c r="L43" s="17">
        <f t="shared" si="5"/>
        <v>0</v>
      </c>
      <c r="M43" s="17">
        <f t="shared" ref="M43" si="6">M42/$O42</f>
        <v>0</v>
      </c>
      <c r="N43" s="17">
        <f t="shared" si="5"/>
        <v>0.29882396062883015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1.5649999999999999</v>
      </c>
      <c r="U43" s="16">
        <f>P32</f>
        <v>1.8246473125801563E-2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31.884</v>
      </c>
      <c r="U44" s="16">
        <f>P34</f>
        <v>0.37173837005946136</v>
      </c>
    </row>
    <row r="45" spans="1:48" ht="16" x14ac:dyDescent="0.2">
      <c r="A45" s="6" t="s">
        <v>60</v>
      </c>
      <c r="B45" s="6">
        <f>B23-B39</f>
        <v>1200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1980.8</v>
      </c>
      <c r="O45" s="25">
        <f>B45+N45</f>
        <v>3180.8</v>
      </c>
      <c r="P45" s="7"/>
      <c r="Q45" s="7"/>
      <c r="R45" s="7"/>
      <c r="S45" s="7" t="s">
        <v>61</v>
      </c>
      <c r="T45" s="20">
        <f>SUM(T39:T44)</f>
        <v>85.77000000000001</v>
      </c>
      <c r="U45" s="15">
        <f>SUM(U39:U44)</f>
        <v>1</v>
      </c>
    </row>
    <row r="46" spans="1:48" ht="16" x14ac:dyDescent="0.2">
      <c r="A46" s="6"/>
      <c r="B46" s="60">
        <f>B45/B23</f>
        <v>0.14285714285714285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8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27"/>
      <c r="C48" s="27"/>
      <c r="D48" s="28"/>
      <c r="E48" s="27"/>
      <c r="F48" s="27"/>
      <c r="G48" s="10"/>
      <c r="H48" s="28"/>
      <c r="I48" s="27"/>
      <c r="J48" s="27"/>
      <c r="K48" s="27"/>
      <c r="L48" s="27"/>
      <c r="M48" s="27"/>
      <c r="N48" s="27"/>
      <c r="O48" s="9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28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ht="17" x14ac:dyDescent="0.2">
      <c r="A50" s="27"/>
      <c r="B50" s="27"/>
      <c r="C50" s="27"/>
      <c r="D50" s="27"/>
      <c r="E50" s="27"/>
      <c r="F50" s="27"/>
      <c r="G50" s="27"/>
      <c r="H50" s="27"/>
      <c r="I50" s="61">
        <v>1323</v>
      </c>
      <c r="J50" s="61">
        <v>1576</v>
      </c>
      <c r="K50" s="27">
        <f>AVERAGE(I50:J50)</f>
        <v>1449.5</v>
      </c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27"/>
      <c r="C52" s="27"/>
      <c r="D52" s="27"/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8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8"/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8"/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4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63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10*0.95</f>
        <v>9.5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6">
        <v>632471.94739325263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65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SUM(B4:B9)</f>
        <v>632481.44739325263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63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3">
        <v>16797</v>
      </c>
      <c r="C18" s="53">
        <v>199</v>
      </c>
      <c r="D18" s="53">
        <v>0</v>
      </c>
      <c r="E18" s="53">
        <v>0</v>
      </c>
      <c r="F18" s="53">
        <v>0</v>
      </c>
      <c r="G18" s="53">
        <v>19110</v>
      </c>
      <c r="H18" s="53">
        <v>0</v>
      </c>
      <c r="I18" s="53"/>
      <c r="J18" s="53"/>
      <c r="K18" s="53"/>
      <c r="L18" s="53"/>
      <c r="M18" s="53"/>
      <c r="N18" s="53"/>
      <c r="O18" s="53">
        <v>19309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194.41791999999998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80.29692</v>
      </c>
      <c r="U22" s="15">
        <f>N43</f>
        <v>0.4130119281185603</v>
      </c>
    </row>
    <row r="23" spans="1:21" ht="16" x14ac:dyDescent="0.2">
      <c r="A23" s="8" t="s">
        <v>17</v>
      </c>
      <c r="B23" s="53">
        <v>16797</v>
      </c>
      <c r="C23" s="53">
        <v>199</v>
      </c>
      <c r="D23" s="53">
        <v>0</v>
      </c>
      <c r="E23" s="53">
        <v>0</v>
      </c>
      <c r="F23" s="53">
        <v>0</v>
      </c>
      <c r="G23" s="53">
        <v>19110</v>
      </c>
      <c r="H23" s="53">
        <v>0</v>
      </c>
      <c r="I23" s="53"/>
      <c r="J23" s="53"/>
      <c r="K23" s="53"/>
      <c r="L23" s="53"/>
      <c r="M23" s="53"/>
      <c r="N23" s="53"/>
      <c r="O23" s="53">
        <v>19309</v>
      </c>
      <c r="P23" s="3"/>
      <c r="Q23" s="3"/>
      <c r="R23" s="3"/>
      <c r="S23" s="48" t="s">
        <v>131</v>
      </c>
      <c r="T23" s="13">
        <f>G42/1000</f>
        <v>71.477999999999994</v>
      </c>
      <c r="U23" s="16">
        <f>G43</f>
        <v>0.36765129469546842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3.2309999999999999</v>
      </c>
      <c r="U25" s="15">
        <f>F43</f>
        <v>1.66188384280626E-2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63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5064</v>
      </c>
      <c r="D31" s="53">
        <v>0</v>
      </c>
      <c r="E31" s="53">
        <v>0</v>
      </c>
      <c r="F31" s="53">
        <v>524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12059</v>
      </c>
      <c r="O31" s="53">
        <v>17647</v>
      </c>
      <c r="P31" s="17">
        <f>O31/O$39</f>
        <v>9.5107465453683149E-2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2064</v>
      </c>
      <c r="C32" s="56">
        <f>2515</f>
        <v>2515</v>
      </c>
      <c r="D32" s="53">
        <v>0</v>
      </c>
      <c r="E32" s="53">
        <v>0</v>
      </c>
      <c r="F32" s="53">
        <v>0</v>
      </c>
      <c r="G32" s="56">
        <f>O32-N32-C32-B32</f>
        <v>29310</v>
      </c>
      <c r="H32" s="53">
        <v>0</v>
      </c>
      <c r="I32" s="53"/>
      <c r="J32" s="53"/>
      <c r="K32" s="53"/>
      <c r="L32" s="53"/>
      <c r="M32" s="41"/>
      <c r="N32" s="56">
        <v>13000</v>
      </c>
      <c r="O32" s="53">
        <v>46889</v>
      </c>
      <c r="P32" s="17">
        <f>O32/O$39</f>
        <v>0.25270549938560372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6022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6777</v>
      </c>
      <c r="O33" s="53">
        <v>12799</v>
      </c>
      <c r="P33" s="17">
        <f>O33/O$39</f>
        <v>6.8979455450880633E-2</v>
      </c>
      <c r="Q33" s="18" t="s">
        <v>42</v>
      </c>
      <c r="R33" s="3"/>
      <c r="S33" s="48" t="s">
        <v>38</v>
      </c>
      <c r="T33" s="13">
        <f>C42/1000</f>
        <v>39.411999999999999</v>
      </c>
      <c r="U33" s="16">
        <f>C43</f>
        <v>0.20271793875790875</v>
      </c>
    </row>
    <row r="34" spans="1:48" ht="16" x14ac:dyDescent="0.2">
      <c r="A34" s="5" t="s">
        <v>43</v>
      </c>
      <c r="B34" s="53">
        <v>0</v>
      </c>
      <c r="C34" s="53">
        <v>31487</v>
      </c>
      <c r="D34" s="53">
        <v>0</v>
      </c>
      <c r="E34" s="53">
        <v>0</v>
      </c>
      <c r="F34" s="53">
        <v>2707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117</v>
      </c>
      <c r="O34" s="53">
        <v>34311</v>
      </c>
      <c r="P34" s="17">
        <f>O34/O$39</f>
        <v>0.1849171103973096</v>
      </c>
      <c r="Q34" s="18" t="s">
        <v>44</v>
      </c>
      <c r="R34" s="3"/>
      <c r="S34" s="3"/>
      <c r="T34" s="13">
        <f>SUM(T22:T33)</f>
        <v>194.41792000000001</v>
      </c>
      <c r="U34" s="15">
        <f>SUM(U22:U33)</f>
        <v>1</v>
      </c>
    </row>
    <row r="35" spans="1:48" ht="16" x14ac:dyDescent="0.2">
      <c r="A35" s="5" t="s">
        <v>45</v>
      </c>
      <c r="B35" s="53">
        <v>2138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11981</v>
      </c>
      <c r="O35" s="53">
        <v>14119</v>
      </c>
      <c r="P35" s="17">
        <f>O35/O$39</f>
        <v>7.6093517580356568E-2</v>
      </c>
      <c r="Q35" s="18" t="s">
        <v>46</v>
      </c>
      <c r="R35" s="18"/>
    </row>
    <row r="36" spans="1:48" ht="16" x14ac:dyDescent="0.2">
      <c r="A36" s="5" t="s">
        <v>47</v>
      </c>
      <c r="B36" s="53">
        <v>2711</v>
      </c>
      <c r="C36" s="56">
        <v>147</v>
      </c>
      <c r="D36" s="53">
        <v>0</v>
      </c>
      <c r="E36" s="53">
        <v>0</v>
      </c>
      <c r="F36" s="53">
        <v>0</v>
      </c>
      <c r="G36" s="53">
        <v>23058</v>
      </c>
      <c r="H36" s="53">
        <v>0</v>
      </c>
      <c r="I36" s="53"/>
      <c r="J36" s="53"/>
      <c r="K36" s="53"/>
      <c r="L36" s="53"/>
      <c r="M36" s="41"/>
      <c r="N36" s="53">
        <v>23964</v>
      </c>
      <c r="O36" s="56">
        <f>SUM(B36:N36)</f>
        <v>49880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3452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2048</v>
      </c>
      <c r="O37" s="53">
        <v>5500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4403</v>
      </c>
      <c r="O38" s="53">
        <v>4403</v>
      </c>
      <c r="P38" s="18">
        <f>SUM(P31:P35)</f>
        <v>0.67780304826783366</v>
      </c>
      <c r="Q38" s="18"/>
      <c r="R38" s="3"/>
      <c r="S38" s="7" t="s">
        <v>50</v>
      </c>
      <c r="T38" s="19">
        <f>O45/1000</f>
        <v>6.35792</v>
      </c>
      <c r="U38" s="7"/>
    </row>
    <row r="39" spans="1:48" ht="16" x14ac:dyDescent="0.2">
      <c r="A39" s="5" t="s">
        <v>17</v>
      </c>
      <c r="B39" s="53">
        <v>16387</v>
      </c>
      <c r="C39" s="56">
        <f>SUM(C31:C38)</f>
        <v>39213</v>
      </c>
      <c r="D39" s="53">
        <v>0</v>
      </c>
      <c r="E39" s="53">
        <v>0</v>
      </c>
      <c r="F39" s="53">
        <v>3231</v>
      </c>
      <c r="G39" s="56">
        <f>SUM(G31:G38)</f>
        <v>52368</v>
      </c>
      <c r="H39" s="53">
        <v>0</v>
      </c>
      <c r="I39" s="53"/>
      <c r="J39" s="53"/>
      <c r="K39" s="53"/>
      <c r="L39" s="53"/>
      <c r="M39" s="41"/>
      <c r="N39" s="56">
        <f>SUM(N31:N38)</f>
        <v>74349</v>
      </c>
      <c r="O39" s="56">
        <f>SUM(O31:O38)</f>
        <v>185548</v>
      </c>
      <c r="P39" s="3"/>
      <c r="Q39" s="3"/>
      <c r="R39" s="3"/>
      <c r="S39" s="7" t="s">
        <v>51</v>
      </c>
      <c r="T39" s="20">
        <f>O41/1000</f>
        <v>59.783000000000001</v>
      </c>
      <c r="U39" s="15">
        <f>P41</f>
        <v>0.32219695173216634</v>
      </c>
    </row>
    <row r="40" spans="1:48" x14ac:dyDescent="0.2">
      <c r="O40" s="11"/>
      <c r="S40" s="7" t="s">
        <v>52</v>
      </c>
      <c r="T40" s="20">
        <f>O35/1000</f>
        <v>14.119</v>
      </c>
      <c r="U40" s="16">
        <f>P35</f>
        <v>7.6093517580356568E-2</v>
      </c>
    </row>
    <row r="41" spans="1:48" ht="16" x14ac:dyDescent="0.2">
      <c r="A41" s="21" t="s">
        <v>53</v>
      </c>
      <c r="B41" s="22">
        <f>B38+B37+B36</f>
        <v>6163</v>
      </c>
      <c r="C41" s="22">
        <f t="shared" ref="C41:O41" si="0">C38+C37+C36</f>
        <v>147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23058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30415</v>
      </c>
      <c r="O41" s="22">
        <f t="shared" si="0"/>
        <v>59783</v>
      </c>
      <c r="P41" s="17">
        <f>O41/O$39</f>
        <v>0.32219695173216634</v>
      </c>
      <c r="Q41" s="17" t="s">
        <v>54</v>
      </c>
      <c r="R41" s="7"/>
      <c r="S41" s="7" t="s">
        <v>55</v>
      </c>
      <c r="T41" s="20">
        <f>O33/1000</f>
        <v>12.798999999999999</v>
      </c>
      <c r="U41" s="15">
        <f>P33</f>
        <v>6.8979455450880633E-2</v>
      </c>
    </row>
    <row r="42" spans="1:48" ht="16" x14ac:dyDescent="0.2">
      <c r="A42" s="23" t="s">
        <v>56</v>
      </c>
      <c r="B42" s="22"/>
      <c r="C42" s="24">
        <f>C39+C23+C10</f>
        <v>39412</v>
      </c>
      <c r="D42" s="24">
        <f t="shared" ref="D42:L42" si="2">D39+D23+D10</f>
        <v>0</v>
      </c>
      <c r="E42" s="24">
        <f t="shared" si="2"/>
        <v>0</v>
      </c>
      <c r="F42" s="24">
        <f t="shared" si="2"/>
        <v>3231</v>
      </c>
      <c r="G42" s="24">
        <f t="shared" si="2"/>
        <v>71478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80296.92</v>
      </c>
      <c r="O42" s="25">
        <f>SUM(C42:N42)</f>
        <v>194417.91999999998</v>
      </c>
      <c r="P42" s="7"/>
      <c r="Q42" s="7"/>
      <c r="R42" s="7"/>
      <c r="S42" s="7" t="s">
        <v>37</v>
      </c>
      <c r="T42" s="20">
        <f>O31/1000</f>
        <v>17.646999999999998</v>
      </c>
      <c r="U42" s="15">
        <f>P31</f>
        <v>9.5107465453683149E-2</v>
      </c>
    </row>
    <row r="43" spans="1:48" ht="16" x14ac:dyDescent="0.2">
      <c r="A43" s="23" t="s">
        <v>57</v>
      </c>
      <c r="B43" s="22"/>
      <c r="C43" s="17">
        <f t="shared" ref="C43:N43" si="4">C42/$O42</f>
        <v>0.20271793875790875</v>
      </c>
      <c r="D43" s="17">
        <f t="shared" si="4"/>
        <v>0</v>
      </c>
      <c r="E43" s="17">
        <f t="shared" si="4"/>
        <v>0</v>
      </c>
      <c r="F43" s="17">
        <f t="shared" si="4"/>
        <v>1.66188384280626E-2</v>
      </c>
      <c r="G43" s="17">
        <f t="shared" si="4"/>
        <v>0.36765129469546842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0.4130119281185603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46.889000000000003</v>
      </c>
      <c r="U43" s="16">
        <f>P32</f>
        <v>0.25270549938560372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34.311</v>
      </c>
      <c r="U44" s="16">
        <f>P34</f>
        <v>0.1849171103973096</v>
      </c>
    </row>
    <row r="45" spans="1:48" ht="16" x14ac:dyDescent="0.2">
      <c r="A45" s="6" t="s">
        <v>60</v>
      </c>
      <c r="B45" s="6">
        <f>B23-B39</f>
        <v>410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5947.92</v>
      </c>
      <c r="O45" s="25">
        <f>B45+N45</f>
        <v>6357.92</v>
      </c>
      <c r="P45" s="7"/>
      <c r="Q45" s="7"/>
      <c r="R45" s="7"/>
      <c r="S45" s="7" t="s">
        <v>61</v>
      </c>
      <c r="T45" s="20">
        <f>SUM(T39:T44)</f>
        <v>185.548</v>
      </c>
      <c r="U45" s="15">
        <f>SUM(U39:U44)</f>
        <v>1</v>
      </c>
    </row>
    <row r="46" spans="1:48" ht="16" x14ac:dyDescent="0.2">
      <c r="A46" s="6"/>
      <c r="B46" s="60">
        <f>B45/B23</f>
        <v>2.4409120676311246E-2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8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5" t="s">
        <v>134</v>
      </c>
      <c r="B49" s="7"/>
      <c r="C49" s="29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5" t="s">
        <v>135</v>
      </c>
      <c r="B50" s="2" t="s">
        <v>136</v>
      </c>
      <c r="C50" s="6" t="s">
        <v>98</v>
      </c>
      <c r="D50" s="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5" t="s">
        <v>137</v>
      </c>
      <c r="B51" s="67">
        <v>0.9</v>
      </c>
      <c r="C51" s="6">
        <f>B51*1000*8.94</f>
        <v>8046</v>
      </c>
      <c r="D51" s="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5" t="s">
        <v>138</v>
      </c>
      <c r="B52" s="67">
        <v>3.2</v>
      </c>
      <c r="C52" s="6">
        <f>B52*1000*9.737</f>
        <v>31158.400000000001</v>
      </c>
      <c r="D52" s="32">
        <f>SUM(C51:C53)</f>
        <v>39204.400000000001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5" t="s">
        <v>139</v>
      </c>
      <c r="B53" s="67"/>
      <c r="C53" s="6">
        <f>B53*1000*5.9</f>
        <v>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 t="s">
        <v>140</v>
      </c>
      <c r="B54" s="67">
        <v>0.3</v>
      </c>
      <c r="C54" s="6">
        <f>B54*1000*9.95</f>
        <v>2985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 t="s">
        <v>142</v>
      </c>
      <c r="B55" s="67"/>
      <c r="C55" s="6">
        <f>B55*1000*10.6</f>
        <v>0</v>
      </c>
      <c r="D55" s="11">
        <f>SUM(C54:C55)</f>
        <v>2985</v>
      </c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8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C56" s="11">
        <f>SUM(C51:C55)</f>
        <v>42189.4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5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64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11*0.95</f>
        <v>10.45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3">
        <v>36698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53">
        <v>53301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SUM(B4:B9)</f>
        <v>90009.45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64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3">
        <v>13554</v>
      </c>
      <c r="C18" s="53">
        <v>90</v>
      </c>
      <c r="D18" s="53">
        <v>0</v>
      </c>
      <c r="E18" s="53">
        <v>0</v>
      </c>
      <c r="F18" s="53">
        <v>0</v>
      </c>
      <c r="G18" s="53">
        <v>15489</v>
      </c>
      <c r="H18" s="53">
        <v>0</v>
      </c>
      <c r="I18" s="53"/>
      <c r="J18" s="53"/>
      <c r="K18" s="53"/>
      <c r="L18" s="53"/>
      <c r="M18" s="53"/>
      <c r="N18" s="53"/>
      <c r="O18" s="53">
        <v>15578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194.23599999999999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105.92100000000001</v>
      </c>
      <c r="U22" s="15">
        <f>N43</f>
        <v>0.54532115570748985</v>
      </c>
    </row>
    <row r="23" spans="1:21" ht="16" x14ac:dyDescent="0.2">
      <c r="A23" s="8" t="s">
        <v>17</v>
      </c>
      <c r="B23" s="53">
        <v>13554</v>
      </c>
      <c r="C23" s="53">
        <v>90</v>
      </c>
      <c r="D23" s="53">
        <v>0</v>
      </c>
      <c r="E23" s="53">
        <v>0</v>
      </c>
      <c r="F23" s="53">
        <v>0</v>
      </c>
      <c r="G23" s="53">
        <v>15489</v>
      </c>
      <c r="H23" s="53">
        <v>0</v>
      </c>
      <c r="I23" s="53"/>
      <c r="J23" s="53"/>
      <c r="K23" s="53"/>
      <c r="L23" s="53"/>
      <c r="M23" s="53"/>
      <c r="N23" s="53"/>
      <c r="O23" s="53">
        <v>15578</v>
      </c>
      <c r="P23" s="3"/>
      <c r="Q23" s="3"/>
      <c r="R23" s="3"/>
      <c r="S23" s="48" t="s">
        <v>131</v>
      </c>
      <c r="T23" s="13">
        <f>G42/1000</f>
        <v>41.75</v>
      </c>
      <c r="U23" s="16">
        <f>G43</f>
        <v>0.21494470643958896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4.0359999999999996</v>
      </c>
      <c r="U25" s="15">
        <f>F43</f>
        <v>2.0778846351860624E-2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64</v>
      </c>
      <c r="B28" s="11"/>
      <c r="C28" s="11"/>
      <c r="D28" s="11"/>
      <c r="E28" s="11"/>
      <c r="F28" s="55"/>
      <c r="G28" s="55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8164</v>
      </c>
      <c r="D31" s="53">
        <v>0</v>
      </c>
      <c r="E31" s="53">
        <v>0</v>
      </c>
      <c r="F31" s="53">
        <v>845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9576</v>
      </c>
      <c r="O31" s="53">
        <v>18585</v>
      </c>
      <c r="P31" s="17">
        <f>O31/O$39</f>
        <v>0.10190262090141462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2415</v>
      </c>
      <c r="C32" s="56">
        <f>O32-N32-G32-B32</f>
        <v>116</v>
      </c>
      <c r="D32" s="53">
        <v>0</v>
      </c>
      <c r="E32" s="53">
        <v>0</v>
      </c>
      <c r="F32" s="53">
        <v>0</v>
      </c>
      <c r="G32" s="56">
        <f>G39-G36</f>
        <v>511</v>
      </c>
      <c r="H32" s="53">
        <v>0</v>
      </c>
      <c r="I32" s="53"/>
      <c r="J32" s="53"/>
      <c r="K32" s="53"/>
      <c r="L32" s="53"/>
      <c r="M32" s="41"/>
      <c r="N32" s="53">
        <v>25538</v>
      </c>
      <c r="O32" s="53">
        <v>28580</v>
      </c>
      <c r="P32" s="17">
        <f>O32/O$39</f>
        <v>0.15670577914244982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5606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7780</v>
      </c>
      <c r="O33" s="53">
        <v>13386</v>
      </c>
      <c r="P33" s="17">
        <f>O33/O$39</f>
        <v>7.339620572431188E-2</v>
      </c>
      <c r="Q33" s="18" t="s">
        <v>42</v>
      </c>
      <c r="R33" s="3"/>
      <c r="S33" s="48" t="s">
        <v>38</v>
      </c>
      <c r="T33" s="13">
        <f>C42/1000</f>
        <v>42.529000000000003</v>
      </c>
      <c r="U33" s="16">
        <f>C43</f>
        <v>0.21895529150106058</v>
      </c>
    </row>
    <row r="34" spans="1:48" ht="16" x14ac:dyDescent="0.2">
      <c r="A34" s="5" t="s">
        <v>43</v>
      </c>
      <c r="B34" s="53">
        <v>0</v>
      </c>
      <c r="C34" s="56">
        <v>33864</v>
      </c>
      <c r="D34" s="53">
        <v>0</v>
      </c>
      <c r="E34" s="53">
        <v>0</v>
      </c>
      <c r="F34" s="53">
        <v>3191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114</v>
      </c>
      <c r="O34" s="56">
        <f>SUM(B34:N34)</f>
        <v>37169</v>
      </c>
      <c r="P34" s="17">
        <f>O34/O$39</f>
        <v>0.20379975874547648</v>
      </c>
      <c r="Q34" s="18" t="s">
        <v>44</v>
      </c>
      <c r="R34" s="3"/>
      <c r="S34" s="3"/>
      <c r="T34" s="13">
        <f>SUM(T22:T33)</f>
        <v>194.23599999999999</v>
      </c>
      <c r="U34" s="15">
        <f>SUM(U22:U33)</f>
        <v>1</v>
      </c>
    </row>
    <row r="35" spans="1:48" ht="16" x14ac:dyDescent="0.2">
      <c r="A35" s="5" t="s">
        <v>45</v>
      </c>
      <c r="B35" s="53">
        <v>1085</v>
      </c>
      <c r="C35" s="53">
        <v>109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8447</v>
      </c>
      <c r="O35" s="53">
        <v>9641</v>
      </c>
      <c r="P35" s="17">
        <f>O35/O$39</f>
        <v>5.2862155938151113E-2</v>
      </c>
      <c r="Q35" s="18" t="s">
        <v>46</v>
      </c>
      <c r="R35" s="18"/>
    </row>
    <row r="36" spans="1:48" ht="16" x14ac:dyDescent="0.2">
      <c r="A36" s="5" t="s">
        <v>47</v>
      </c>
      <c r="B36" s="53">
        <v>783</v>
      </c>
      <c r="C36" s="56">
        <v>186</v>
      </c>
      <c r="D36" s="53">
        <v>0</v>
      </c>
      <c r="E36" s="53">
        <v>0</v>
      </c>
      <c r="F36" s="53">
        <v>0</v>
      </c>
      <c r="G36" s="56">
        <v>25750</v>
      </c>
      <c r="H36" s="53">
        <v>0</v>
      </c>
      <c r="I36" s="53"/>
      <c r="J36" s="53"/>
      <c r="K36" s="53"/>
      <c r="L36" s="53"/>
      <c r="M36" s="41"/>
      <c r="N36" s="53">
        <v>33837</v>
      </c>
      <c r="O36" s="56">
        <f>SUM(B36:N36)</f>
        <v>60556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1680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3659</v>
      </c>
      <c r="O37" s="53">
        <v>5339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9124</v>
      </c>
      <c r="O38" s="53">
        <v>9124</v>
      </c>
      <c r="P38" s="18">
        <f>SUM(P31:P35)</f>
        <v>0.5886665204518039</v>
      </c>
      <c r="Q38" s="18"/>
      <c r="R38" s="3"/>
      <c r="S38" s="7" t="s">
        <v>50</v>
      </c>
      <c r="T38" s="19">
        <f>O45/1000</f>
        <v>9.8320000000000007</v>
      </c>
      <c r="U38" s="7"/>
    </row>
    <row r="39" spans="1:48" ht="16" x14ac:dyDescent="0.2">
      <c r="A39" s="5" t="s">
        <v>17</v>
      </c>
      <c r="B39" s="53">
        <v>11568</v>
      </c>
      <c r="C39" s="56">
        <f>SUM(C31:C38)</f>
        <v>42439</v>
      </c>
      <c r="D39" s="53">
        <v>0</v>
      </c>
      <c r="E39" s="53">
        <v>0</v>
      </c>
      <c r="F39" s="53">
        <v>4036</v>
      </c>
      <c r="G39" s="53">
        <v>26261</v>
      </c>
      <c r="H39" s="53">
        <v>0</v>
      </c>
      <c r="I39" s="53"/>
      <c r="J39" s="53"/>
      <c r="K39" s="53"/>
      <c r="L39" s="53"/>
      <c r="M39" s="41"/>
      <c r="N39" s="53">
        <v>98075</v>
      </c>
      <c r="O39" s="56">
        <f>SUM(O31:O38)</f>
        <v>182380</v>
      </c>
      <c r="P39" s="3"/>
      <c r="Q39" s="3"/>
      <c r="R39" s="3"/>
      <c r="S39" s="7" t="s">
        <v>51</v>
      </c>
      <c r="T39" s="20">
        <f>O41/1000</f>
        <v>75.019000000000005</v>
      </c>
      <c r="U39" s="15">
        <f>P41</f>
        <v>0.4113334795481961</v>
      </c>
    </row>
    <row r="40" spans="1:48" x14ac:dyDescent="0.2">
      <c r="O40" s="11"/>
      <c r="S40" s="7" t="s">
        <v>52</v>
      </c>
      <c r="T40" s="20">
        <f>O35/1000</f>
        <v>9.641</v>
      </c>
      <c r="U40" s="16">
        <f>P35</f>
        <v>5.2862155938151113E-2</v>
      </c>
    </row>
    <row r="41" spans="1:48" ht="16" x14ac:dyDescent="0.2">
      <c r="A41" s="21" t="s">
        <v>53</v>
      </c>
      <c r="B41" s="22">
        <f>B38+B37+B36</f>
        <v>2463</v>
      </c>
      <c r="C41" s="22">
        <f t="shared" ref="C41:O41" si="0">C38+C37+C36</f>
        <v>186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25750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46620</v>
      </c>
      <c r="O41" s="22">
        <f t="shared" si="0"/>
        <v>75019</v>
      </c>
      <c r="P41" s="17">
        <f>O41/O$39</f>
        <v>0.4113334795481961</v>
      </c>
      <c r="Q41" s="17" t="s">
        <v>54</v>
      </c>
      <c r="R41" s="7"/>
      <c r="S41" s="7" t="s">
        <v>55</v>
      </c>
      <c r="T41" s="20">
        <f>O33/1000</f>
        <v>13.385999999999999</v>
      </c>
      <c r="U41" s="15">
        <f>P33</f>
        <v>7.339620572431188E-2</v>
      </c>
    </row>
    <row r="42" spans="1:48" ht="16" x14ac:dyDescent="0.2">
      <c r="A42" s="23" t="s">
        <v>56</v>
      </c>
      <c r="B42" s="22"/>
      <c r="C42" s="24">
        <f>C39+C23+C10</f>
        <v>42529</v>
      </c>
      <c r="D42" s="24">
        <f t="shared" ref="D42:L42" si="2">D39+D23+D10</f>
        <v>0</v>
      </c>
      <c r="E42" s="24">
        <f t="shared" si="2"/>
        <v>0</v>
      </c>
      <c r="F42" s="24">
        <f t="shared" si="2"/>
        <v>4036</v>
      </c>
      <c r="G42" s="24">
        <f t="shared" si="2"/>
        <v>41750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105921</v>
      </c>
      <c r="O42" s="25">
        <f>SUM(C42:N42)</f>
        <v>194236</v>
      </c>
      <c r="P42" s="7"/>
      <c r="Q42" s="7"/>
      <c r="R42" s="7"/>
      <c r="S42" s="7" t="s">
        <v>37</v>
      </c>
      <c r="T42" s="20">
        <f>O31/1000</f>
        <v>18.585000000000001</v>
      </c>
      <c r="U42" s="15">
        <f>P31</f>
        <v>0.10190262090141462</v>
      </c>
    </row>
    <row r="43" spans="1:48" ht="16" x14ac:dyDescent="0.2">
      <c r="A43" s="23" t="s">
        <v>57</v>
      </c>
      <c r="B43" s="22"/>
      <c r="C43" s="17">
        <f t="shared" ref="C43:N43" si="4">C42/$O42</f>
        <v>0.21895529150106058</v>
      </c>
      <c r="D43" s="17">
        <f t="shared" si="4"/>
        <v>0</v>
      </c>
      <c r="E43" s="17">
        <f t="shared" si="4"/>
        <v>0</v>
      </c>
      <c r="F43" s="17">
        <f t="shared" si="4"/>
        <v>2.0778846351860624E-2</v>
      </c>
      <c r="G43" s="17">
        <f t="shared" si="4"/>
        <v>0.21494470643958896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0.54532115570748985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28.58</v>
      </c>
      <c r="U43" s="16">
        <f>P32</f>
        <v>0.15670577914244982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37.168999999999997</v>
      </c>
      <c r="U44" s="16">
        <f>P34</f>
        <v>0.20379975874547648</v>
      </c>
    </row>
    <row r="45" spans="1:48" ht="16" x14ac:dyDescent="0.2">
      <c r="A45" s="6" t="s">
        <v>60</v>
      </c>
      <c r="B45" s="6">
        <f>B23-B39</f>
        <v>1986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7846</v>
      </c>
      <c r="O45" s="25">
        <f>B45+N45</f>
        <v>9832</v>
      </c>
      <c r="P45" s="7"/>
      <c r="Q45" s="7"/>
      <c r="R45" s="7"/>
      <c r="S45" s="7" t="s">
        <v>61</v>
      </c>
      <c r="T45" s="20">
        <f>SUM(T39:T44)</f>
        <v>182.38</v>
      </c>
      <c r="U45" s="15">
        <f>SUM(U39:U44)</f>
        <v>1</v>
      </c>
    </row>
    <row r="46" spans="1:48" ht="16" x14ac:dyDescent="0.2">
      <c r="A46" s="6"/>
      <c r="B46" s="60">
        <f>B45/B23</f>
        <v>0.14652501106684374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7"/>
      <c r="E48" s="27"/>
      <c r="F48" s="28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27"/>
      <c r="B49" s="4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27"/>
      <c r="B50" s="4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27"/>
      <c r="B51" s="4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x14ac:dyDescent="0.2">
      <c r="A52" s="27"/>
      <c r="B52" s="4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27"/>
      <c r="B53" s="4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27"/>
      <c r="B54" s="4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27"/>
      <c r="B55" s="4"/>
      <c r="C55" s="27"/>
      <c r="D55" s="27"/>
      <c r="E55" s="27"/>
      <c r="F55" s="28"/>
      <c r="G55" s="28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27"/>
      <c r="B56" s="4"/>
      <c r="C56" s="27"/>
      <c r="D56" s="27"/>
      <c r="E56" s="27"/>
      <c r="F56" s="28"/>
      <c r="G56" s="28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A57" s="7"/>
      <c r="B57" s="7"/>
      <c r="C57" s="29"/>
      <c r="D57" s="29"/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6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65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10*0.95</f>
        <v>9.5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3">
        <v>1518646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53">
        <v>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SUM(B4:B9)</f>
        <v>1518655.5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65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3">
        <v>6516</v>
      </c>
      <c r="C18" s="53">
        <v>40</v>
      </c>
      <c r="D18" s="53">
        <v>0</v>
      </c>
      <c r="E18" s="53">
        <v>0</v>
      </c>
      <c r="F18" s="53">
        <v>0</v>
      </c>
      <c r="G18" s="53">
        <v>7345</v>
      </c>
      <c r="H18" s="53">
        <v>0</v>
      </c>
      <c r="I18" s="53"/>
      <c r="J18" s="53"/>
      <c r="K18" s="53"/>
      <c r="L18" s="53"/>
      <c r="M18" s="53"/>
      <c r="N18" s="53"/>
      <c r="O18" s="53">
        <v>7385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196.97667999999999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7376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93.847679999999997</v>
      </c>
      <c r="U22" s="15">
        <f>N43</f>
        <v>0.47644056139031277</v>
      </c>
    </row>
    <row r="23" spans="1:21" ht="16" x14ac:dyDescent="0.2">
      <c r="A23" s="8" t="s">
        <v>17</v>
      </c>
      <c r="B23" s="53">
        <v>13892</v>
      </c>
      <c r="C23" s="53">
        <v>40</v>
      </c>
      <c r="D23" s="53">
        <v>0</v>
      </c>
      <c r="E23" s="53">
        <v>0</v>
      </c>
      <c r="F23" s="53">
        <v>0</v>
      </c>
      <c r="G23" s="53">
        <v>7345</v>
      </c>
      <c r="H23" s="53">
        <v>0</v>
      </c>
      <c r="I23" s="53"/>
      <c r="J23" s="53"/>
      <c r="K23" s="53"/>
      <c r="L23" s="53"/>
      <c r="M23" s="53"/>
      <c r="N23" s="53"/>
      <c r="O23" s="53">
        <v>7385</v>
      </c>
      <c r="P23" s="3"/>
      <c r="Q23" s="3"/>
      <c r="R23" s="3"/>
      <c r="S23" s="48" t="s">
        <v>131</v>
      </c>
      <c r="T23" s="13">
        <f>G42/1000</f>
        <v>33.966999999999999</v>
      </c>
      <c r="U23" s="16">
        <f>G43</f>
        <v>0.17244173269647961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5.4909999999999997</v>
      </c>
      <c r="U25" s="15">
        <f>F43</f>
        <v>2.7876396332804473E-2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65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4533</v>
      </c>
      <c r="D31" s="53">
        <v>0</v>
      </c>
      <c r="E31" s="53">
        <v>0</v>
      </c>
      <c r="F31" s="53">
        <v>469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802</v>
      </c>
      <c r="O31" s="53">
        <v>5804</v>
      </c>
      <c r="P31" s="17">
        <f>O31/O$39</f>
        <v>2.9854431356411706E-2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84</v>
      </c>
      <c r="C32" s="53">
        <v>585</v>
      </c>
      <c r="D32" s="53">
        <v>0</v>
      </c>
      <c r="E32" s="53">
        <v>0</v>
      </c>
      <c r="F32" s="53">
        <v>0</v>
      </c>
      <c r="G32" s="53">
        <v>10376</v>
      </c>
      <c r="H32" s="53">
        <v>0</v>
      </c>
      <c r="I32" s="53"/>
      <c r="J32" s="53"/>
      <c r="K32" s="53"/>
      <c r="L32" s="53"/>
      <c r="M32" s="41"/>
      <c r="N32" s="53">
        <v>42548</v>
      </c>
      <c r="O32" s="53">
        <v>53593</v>
      </c>
      <c r="P32" s="17">
        <f>O32/O$39</f>
        <v>0.27566997582428887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4653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6128</v>
      </c>
      <c r="O33" s="53">
        <v>10781</v>
      </c>
      <c r="P33" s="17">
        <f>O33/O$39</f>
        <v>5.545496630831747E-2</v>
      </c>
      <c r="Q33" s="18" t="s">
        <v>42</v>
      </c>
      <c r="R33" s="3"/>
      <c r="S33" s="48" t="s">
        <v>38</v>
      </c>
      <c r="T33" s="13">
        <f>C42/1000</f>
        <v>63.670999999999999</v>
      </c>
      <c r="U33" s="16">
        <f>C43</f>
        <v>0.32324130958040315</v>
      </c>
    </row>
    <row r="34" spans="1:48" ht="16" x14ac:dyDescent="0.2">
      <c r="A34" s="5" t="s">
        <v>43</v>
      </c>
      <c r="B34" s="53">
        <v>0</v>
      </c>
      <c r="C34" s="53">
        <v>57934</v>
      </c>
      <c r="D34" s="53">
        <v>0</v>
      </c>
      <c r="E34" s="53">
        <v>0</v>
      </c>
      <c r="F34" s="53">
        <v>5022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260</v>
      </c>
      <c r="O34" s="53">
        <v>63216</v>
      </c>
      <c r="P34" s="17">
        <f>O34/O$39</f>
        <v>0.32516845841263309</v>
      </c>
      <c r="Q34" s="18" t="s">
        <v>44</v>
      </c>
      <c r="R34" s="3"/>
      <c r="S34" s="3"/>
      <c r="T34" s="13">
        <f>SUM(T22:T33)</f>
        <v>196.97667999999999</v>
      </c>
      <c r="U34" s="15">
        <f>SUM(U22:U33)</f>
        <v>1</v>
      </c>
    </row>
    <row r="35" spans="1:48" ht="16" x14ac:dyDescent="0.2">
      <c r="A35" s="5" t="s">
        <v>45</v>
      </c>
      <c r="B35" s="53">
        <v>2306</v>
      </c>
      <c r="C35" s="53">
        <v>464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10042</v>
      </c>
      <c r="O35" s="53">
        <v>12811</v>
      </c>
      <c r="P35" s="17">
        <f>O35/O$39</f>
        <v>6.589681600740703E-2</v>
      </c>
      <c r="Q35" s="18" t="s">
        <v>46</v>
      </c>
      <c r="R35" s="18"/>
    </row>
    <row r="36" spans="1:48" ht="16" x14ac:dyDescent="0.2">
      <c r="A36" s="5" t="s">
        <v>47</v>
      </c>
      <c r="B36" s="53">
        <v>1822</v>
      </c>
      <c r="C36" s="56">
        <v>115</v>
      </c>
      <c r="D36" s="53">
        <v>0</v>
      </c>
      <c r="E36" s="53">
        <v>0</v>
      </c>
      <c r="F36" s="53">
        <v>0</v>
      </c>
      <c r="G36" s="53">
        <v>16247</v>
      </c>
      <c r="H36" s="53">
        <v>0</v>
      </c>
      <c r="I36" s="53"/>
      <c r="J36" s="53"/>
      <c r="K36" s="53"/>
      <c r="L36" s="53"/>
      <c r="M36" s="41"/>
      <c r="N36" s="53">
        <v>22123</v>
      </c>
      <c r="O36" s="56">
        <f>SUM(B36:N36)</f>
        <v>40307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2905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1896</v>
      </c>
      <c r="O37" s="53">
        <v>4801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3097</v>
      </c>
      <c r="O38" s="53">
        <v>3097</v>
      </c>
      <c r="P38" s="18">
        <f>SUM(P31:P35)</f>
        <v>0.75204464790905823</v>
      </c>
      <c r="Q38" s="18"/>
      <c r="R38" s="3"/>
      <c r="S38" s="7" t="s">
        <v>50</v>
      </c>
      <c r="T38" s="19">
        <f>O45/1000</f>
        <v>9.0736799999999995</v>
      </c>
      <c r="U38" s="7"/>
    </row>
    <row r="39" spans="1:48" ht="16" x14ac:dyDescent="0.2">
      <c r="A39" s="5" t="s">
        <v>17</v>
      </c>
      <c r="B39" s="53">
        <v>11770</v>
      </c>
      <c r="C39" s="56">
        <f>SUM(C31:C38)</f>
        <v>63631</v>
      </c>
      <c r="D39" s="53">
        <v>0</v>
      </c>
      <c r="E39" s="53">
        <v>0</v>
      </c>
      <c r="F39" s="53">
        <v>5491</v>
      </c>
      <c r="G39" s="53">
        <v>26622</v>
      </c>
      <c r="H39" s="53">
        <v>0</v>
      </c>
      <c r="I39" s="53"/>
      <c r="J39" s="53"/>
      <c r="K39" s="53"/>
      <c r="L39" s="53"/>
      <c r="M39" s="41"/>
      <c r="N39" s="53">
        <v>86896</v>
      </c>
      <c r="O39" s="56">
        <f>SUM(O31:O38)</f>
        <v>194410</v>
      </c>
      <c r="P39" s="3"/>
      <c r="Q39" s="3"/>
      <c r="R39" s="3"/>
      <c r="S39" s="7" t="s">
        <v>51</v>
      </c>
      <c r="T39" s="20">
        <f>O41/1000</f>
        <v>48.204999999999998</v>
      </c>
      <c r="U39" s="15">
        <f>P41</f>
        <v>0.24795535209094183</v>
      </c>
    </row>
    <row r="40" spans="1:48" x14ac:dyDescent="0.2">
      <c r="O40" s="11"/>
      <c r="S40" s="7" t="s">
        <v>52</v>
      </c>
      <c r="T40" s="20">
        <f>O35/1000</f>
        <v>12.811</v>
      </c>
      <c r="U40" s="16">
        <f>P35</f>
        <v>6.589681600740703E-2</v>
      </c>
    </row>
    <row r="41" spans="1:48" ht="16" x14ac:dyDescent="0.2">
      <c r="A41" s="21" t="s">
        <v>53</v>
      </c>
      <c r="B41" s="22">
        <f>B38+B37+B36</f>
        <v>4727</v>
      </c>
      <c r="C41" s="22">
        <f t="shared" ref="C41:O41" si="0">C38+C37+C36</f>
        <v>115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16247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27116</v>
      </c>
      <c r="O41" s="22">
        <f t="shared" si="0"/>
        <v>48205</v>
      </c>
      <c r="P41" s="17">
        <f>O41/O$39</f>
        <v>0.24795535209094183</v>
      </c>
      <c r="Q41" s="17" t="s">
        <v>54</v>
      </c>
      <c r="R41" s="7"/>
      <c r="S41" s="7" t="s">
        <v>55</v>
      </c>
      <c r="T41" s="20">
        <f>O33/1000</f>
        <v>10.781000000000001</v>
      </c>
      <c r="U41" s="15">
        <f>P33</f>
        <v>5.545496630831747E-2</v>
      </c>
    </row>
    <row r="42" spans="1:48" ht="16" x14ac:dyDescent="0.2">
      <c r="A42" s="23" t="s">
        <v>56</v>
      </c>
      <c r="B42" s="22"/>
      <c r="C42" s="24">
        <f>C39+C23+C10</f>
        <v>63671</v>
      </c>
      <c r="D42" s="24">
        <f t="shared" ref="D42:L42" si="2">D39+D23+D10</f>
        <v>0</v>
      </c>
      <c r="E42" s="24">
        <f t="shared" si="2"/>
        <v>0</v>
      </c>
      <c r="F42" s="24">
        <f t="shared" si="2"/>
        <v>5491</v>
      </c>
      <c r="G42" s="24">
        <f t="shared" si="2"/>
        <v>33967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93847.679999999993</v>
      </c>
      <c r="O42" s="25">
        <f>SUM(C42:N42)</f>
        <v>196976.68</v>
      </c>
      <c r="P42" s="7"/>
      <c r="Q42" s="7"/>
      <c r="R42" s="7"/>
      <c r="S42" s="7" t="s">
        <v>37</v>
      </c>
      <c r="T42" s="20">
        <f>O31/1000</f>
        <v>5.8040000000000003</v>
      </c>
      <c r="U42" s="15">
        <f>P31</f>
        <v>2.9854431356411706E-2</v>
      </c>
    </row>
    <row r="43" spans="1:48" ht="16" x14ac:dyDescent="0.2">
      <c r="A43" s="23" t="s">
        <v>57</v>
      </c>
      <c r="B43" s="22"/>
      <c r="C43" s="17">
        <f t="shared" ref="C43:N43" si="4">C42/$O42</f>
        <v>0.32324130958040315</v>
      </c>
      <c r="D43" s="17">
        <f t="shared" si="4"/>
        <v>0</v>
      </c>
      <c r="E43" s="17">
        <f t="shared" si="4"/>
        <v>0</v>
      </c>
      <c r="F43" s="17">
        <f t="shared" si="4"/>
        <v>2.7876396332804473E-2</v>
      </c>
      <c r="G43" s="17">
        <f t="shared" si="4"/>
        <v>0.17244173269647961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0.47644056139031277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53.593000000000004</v>
      </c>
      <c r="U43" s="16">
        <f>P32</f>
        <v>0.27566997582428887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63.216000000000001</v>
      </c>
      <c r="U44" s="16">
        <f>P34</f>
        <v>0.32516845841263309</v>
      </c>
    </row>
    <row r="45" spans="1:48" ht="16" x14ac:dyDescent="0.2">
      <c r="A45" s="6" t="s">
        <v>60</v>
      </c>
      <c r="B45" s="6">
        <f>B23-B39</f>
        <v>2122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6951.68</v>
      </c>
      <c r="O45" s="25">
        <f>B45+N45</f>
        <v>9073.68</v>
      </c>
      <c r="P45" s="7"/>
      <c r="Q45" s="7"/>
      <c r="R45" s="7"/>
      <c r="S45" s="7" t="s">
        <v>61</v>
      </c>
      <c r="T45" s="20">
        <f>SUM(T39:T44)</f>
        <v>194.41000000000003</v>
      </c>
      <c r="U45" s="15">
        <f>SUM(U39:U44)</f>
        <v>1</v>
      </c>
    </row>
    <row r="46" spans="1:48" ht="16" x14ac:dyDescent="0.2">
      <c r="A46" s="6"/>
      <c r="B46" s="60">
        <f>B45/B23</f>
        <v>0.15274978404837317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5" t="s">
        <v>134</v>
      </c>
      <c r="B49" s="7"/>
      <c r="C49" s="29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5" t="s">
        <v>135</v>
      </c>
      <c r="B50" s="2" t="s">
        <v>136</v>
      </c>
      <c r="C50" s="6" t="s">
        <v>98</v>
      </c>
      <c r="D50" s="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5" t="s">
        <v>137</v>
      </c>
      <c r="B51" s="67">
        <v>1.7</v>
      </c>
      <c r="C51" s="6">
        <f>B51*1000*9.1</f>
        <v>15470</v>
      </c>
      <c r="D51" s="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5" t="s">
        <v>138</v>
      </c>
      <c r="B52" s="67">
        <v>5.4</v>
      </c>
      <c r="C52" s="6">
        <f>B52*1000*9.77</f>
        <v>52758</v>
      </c>
      <c r="D52" s="32">
        <f>SUM(C51:C53)</f>
        <v>68228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5" t="s">
        <v>139</v>
      </c>
      <c r="B53" s="67"/>
      <c r="C53" s="6">
        <f>B53*1000*5.9</f>
        <v>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 t="s">
        <v>140</v>
      </c>
      <c r="B54" s="67">
        <v>0.4</v>
      </c>
      <c r="C54" s="6">
        <f>B54*1000*9.95</f>
        <v>3979.9999999999995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 t="s">
        <v>141</v>
      </c>
      <c r="B55" s="67">
        <v>0.3</v>
      </c>
      <c r="C55" s="6">
        <f>B55*1000*9.95</f>
        <v>2985</v>
      </c>
      <c r="D55" s="11">
        <f>SUM(C54:C56)</f>
        <v>6965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 t="s">
        <v>142</v>
      </c>
      <c r="B56" s="67"/>
      <c r="C56" s="6">
        <f>B56*1000*10.6</f>
        <v>0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C57" s="11">
        <f>SUM(C51:C56)</f>
        <v>75193</v>
      </c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7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66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12*0.95</f>
        <v>11.399999999999999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15637</v>
      </c>
      <c r="C6" s="53">
        <v>0</v>
      </c>
      <c r="D6" s="53">
        <v>0</v>
      </c>
      <c r="E6" s="53">
        <v>0</v>
      </c>
      <c r="F6" s="53">
        <v>0</v>
      </c>
      <c r="G6" s="56">
        <v>0</v>
      </c>
      <c r="H6" s="53">
        <v>0</v>
      </c>
      <c r="I6" s="53"/>
      <c r="J6" s="53"/>
      <c r="K6" s="53"/>
      <c r="L6" s="53"/>
      <c r="M6" s="53"/>
      <c r="N6" s="53"/>
      <c r="O6" s="56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3">
        <v>820056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53">
        <v>483187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SUM(B4:B9)</f>
        <v>1318891.3999999999</v>
      </c>
      <c r="C10" s="53">
        <v>0</v>
      </c>
      <c r="D10" s="53">
        <v>0</v>
      </c>
      <c r="E10" s="53">
        <v>0</v>
      </c>
      <c r="F10" s="53">
        <v>0</v>
      </c>
      <c r="G10" s="56">
        <v>0</v>
      </c>
      <c r="H10" s="53">
        <v>0</v>
      </c>
      <c r="I10" s="53"/>
      <c r="J10" s="53"/>
      <c r="K10" s="53"/>
      <c r="L10" s="53"/>
      <c r="M10" s="53"/>
      <c r="N10" s="53"/>
      <c r="O10" s="56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66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73556</v>
      </c>
      <c r="C17" s="53">
        <v>836</v>
      </c>
      <c r="D17" s="53">
        <v>0</v>
      </c>
      <c r="E17" s="53">
        <v>0</v>
      </c>
      <c r="F17" s="53">
        <v>0</v>
      </c>
      <c r="G17" s="56">
        <f>81883+17373</f>
        <v>99256</v>
      </c>
      <c r="H17" s="53">
        <v>0</v>
      </c>
      <c r="I17" s="53"/>
      <c r="J17" s="53"/>
      <c r="K17" s="53"/>
      <c r="L17" s="53"/>
      <c r="M17" s="53"/>
      <c r="N17" s="53"/>
      <c r="O17" s="56">
        <f>SUM(C17:N17)</f>
        <v>100092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3">
        <v>0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/>
      <c r="J18" s="53"/>
      <c r="K18" s="53"/>
      <c r="L18" s="53"/>
      <c r="M18" s="53"/>
      <c r="N18" s="53"/>
      <c r="O18" s="53">
        <v>0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220.79864000000001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39.100639999999999</v>
      </c>
      <c r="U22" s="15">
        <f>N43</f>
        <v>0.1770873226393061</v>
      </c>
    </row>
    <row r="23" spans="1:21" ht="16" x14ac:dyDescent="0.2">
      <c r="A23" s="8" t="s">
        <v>17</v>
      </c>
      <c r="B23" s="53">
        <v>73556</v>
      </c>
      <c r="C23" s="53">
        <v>836</v>
      </c>
      <c r="D23" s="53">
        <v>0</v>
      </c>
      <c r="E23" s="53">
        <v>0</v>
      </c>
      <c r="F23" s="53">
        <v>0</v>
      </c>
      <c r="G23" s="56">
        <f>SUM(G17:G22)</f>
        <v>99256</v>
      </c>
      <c r="H23" s="53">
        <v>0</v>
      </c>
      <c r="I23" s="53"/>
      <c r="J23" s="53"/>
      <c r="K23" s="53"/>
      <c r="L23" s="53"/>
      <c r="M23" s="53"/>
      <c r="N23" s="53"/>
      <c r="O23" s="56">
        <f>SUM(O17:O22)</f>
        <v>100092</v>
      </c>
      <c r="P23" s="3"/>
      <c r="Q23" s="3"/>
      <c r="R23" s="3"/>
      <c r="S23" s="48" t="s">
        <v>131</v>
      </c>
      <c r="T23" s="13">
        <f>G42/1000</f>
        <v>110.367</v>
      </c>
      <c r="U23" s="16">
        <f>G43</f>
        <v>0.49985362228680391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5.7169999999999996</v>
      </c>
      <c r="U25" s="15">
        <f>F43</f>
        <v>2.5892369626914366E-2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66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6284</v>
      </c>
      <c r="D31" s="53">
        <v>0</v>
      </c>
      <c r="E31" s="53">
        <v>0</v>
      </c>
      <c r="F31" s="53">
        <v>650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398</v>
      </c>
      <c r="O31" s="53">
        <v>7332</v>
      </c>
      <c r="P31" s="17">
        <f>O31/O$39</f>
        <v>3.6633989867194294E-2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56583</v>
      </c>
      <c r="C32" s="65">
        <f>4975-400-2537</f>
        <v>2038</v>
      </c>
      <c r="D32" s="53">
        <v>0</v>
      </c>
      <c r="E32" s="53">
        <v>0</v>
      </c>
      <c r="F32" s="53">
        <v>0</v>
      </c>
      <c r="G32" s="56">
        <v>0</v>
      </c>
      <c r="H32" s="53">
        <v>0</v>
      </c>
      <c r="I32" s="53"/>
      <c r="J32" s="53"/>
      <c r="K32" s="53"/>
      <c r="L32" s="53"/>
      <c r="M32" s="41"/>
      <c r="N32" s="53">
        <v>18406</v>
      </c>
      <c r="O32" s="56">
        <f>SUM(B32:N32)</f>
        <v>77027</v>
      </c>
      <c r="P32" s="17">
        <f>O32/O$39</f>
        <v>0.38486174815880725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3198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3225</v>
      </c>
      <c r="O33" s="53">
        <v>6423</v>
      </c>
      <c r="P33" s="17">
        <f>O33/O$39</f>
        <v>3.2092214527685341E-2</v>
      </c>
      <c r="Q33" s="18" t="s">
        <v>42</v>
      </c>
      <c r="R33" s="3"/>
      <c r="S33" s="48" t="s">
        <v>38</v>
      </c>
      <c r="T33" s="13">
        <f>C42/1000</f>
        <v>65.614000000000004</v>
      </c>
      <c r="U33" s="16">
        <f>C43</f>
        <v>0.29716668544697555</v>
      </c>
    </row>
    <row r="34" spans="1:48" ht="16" x14ac:dyDescent="0.2">
      <c r="A34" s="5" t="s">
        <v>43</v>
      </c>
      <c r="B34" s="53">
        <v>0</v>
      </c>
      <c r="C34" s="53">
        <v>55971</v>
      </c>
      <c r="D34" s="53">
        <v>0</v>
      </c>
      <c r="E34" s="53">
        <v>0</v>
      </c>
      <c r="F34" s="53">
        <v>5066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105</v>
      </c>
      <c r="O34" s="53">
        <v>61142</v>
      </c>
      <c r="P34" s="17">
        <f>O34/O$39</f>
        <v>0.30549309989907164</v>
      </c>
      <c r="Q34" s="18" t="s">
        <v>44</v>
      </c>
      <c r="R34" s="3"/>
      <c r="S34" s="3"/>
      <c r="T34" s="13">
        <f>SUM(T22:T33)</f>
        <v>220.79864000000003</v>
      </c>
      <c r="U34" s="15">
        <f>SUM(U22:U33)</f>
        <v>0.99999999999999989</v>
      </c>
    </row>
    <row r="35" spans="1:48" ht="16" x14ac:dyDescent="0.2">
      <c r="A35" s="5" t="s">
        <v>45</v>
      </c>
      <c r="B35" s="53">
        <v>1941</v>
      </c>
      <c r="C35" s="53">
        <v>400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9736</v>
      </c>
      <c r="O35" s="53">
        <v>12077</v>
      </c>
      <c r="P35" s="17">
        <f>O35/O$39</f>
        <v>6.0342157068481381E-2</v>
      </c>
      <c r="Q35" s="18" t="s">
        <v>46</v>
      </c>
      <c r="R35" s="18"/>
    </row>
    <row r="36" spans="1:48" ht="16" x14ac:dyDescent="0.2">
      <c r="A36" s="5" t="s">
        <v>47</v>
      </c>
      <c r="B36" s="53">
        <v>3003</v>
      </c>
      <c r="C36" s="56">
        <v>85</v>
      </c>
      <c r="D36" s="53">
        <v>0</v>
      </c>
      <c r="E36" s="53">
        <v>0</v>
      </c>
      <c r="F36" s="53">
        <v>0</v>
      </c>
      <c r="G36" s="53">
        <v>11111</v>
      </c>
      <c r="H36" s="53">
        <v>0</v>
      </c>
      <c r="I36" s="53"/>
      <c r="J36" s="53"/>
      <c r="K36" s="53"/>
      <c r="L36" s="53"/>
      <c r="M36" s="41"/>
      <c r="N36" s="53">
        <v>15408</v>
      </c>
      <c r="O36" s="56">
        <f>SUM(B36:N36)</f>
        <v>29607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3129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2189</v>
      </c>
      <c r="O37" s="53">
        <v>5318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1216</v>
      </c>
      <c r="O38" s="53">
        <v>1216</v>
      </c>
      <c r="P38" s="18">
        <f>SUM(P31:P35)</f>
        <v>0.81942320952123981</v>
      </c>
      <c r="Q38" s="18"/>
      <c r="R38" s="3"/>
      <c r="S38" s="7" t="s">
        <v>50</v>
      </c>
      <c r="T38" s="19">
        <f>O45/1000</f>
        <v>9.7576399999999985</v>
      </c>
      <c r="U38" s="7"/>
    </row>
    <row r="39" spans="1:48" ht="16" x14ac:dyDescent="0.2">
      <c r="A39" s="5" t="s">
        <v>17</v>
      </c>
      <c r="B39" s="53">
        <v>67853</v>
      </c>
      <c r="C39" s="56">
        <f>SUM(C31:C38)</f>
        <v>64778</v>
      </c>
      <c r="D39" s="53">
        <v>0</v>
      </c>
      <c r="E39" s="53">
        <v>0</v>
      </c>
      <c r="F39" s="53">
        <v>5717</v>
      </c>
      <c r="G39" s="56">
        <f>SUM(G31:G38)</f>
        <v>11111</v>
      </c>
      <c r="H39" s="53">
        <v>0</v>
      </c>
      <c r="I39" s="53"/>
      <c r="J39" s="53"/>
      <c r="K39" s="53"/>
      <c r="L39" s="53"/>
      <c r="M39" s="41"/>
      <c r="N39" s="53">
        <v>50683</v>
      </c>
      <c r="O39" s="56">
        <f>SUM(O31:O38)</f>
        <v>200142</v>
      </c>
      <c r="P39" s="3"/>
      <c r="Q39" s="3"/>
      <c r="R39" s="3"/>
      <c r="S39" s="7" t="s">
        <v>51</v>
      </c>
      <c r="T39" s="20">
        <f>O41/1000</f>
        <v>36.140999999999998</v>
      </c>
      <c r="U39" s="15">
        <f>P41</f>
        <v>0.18057679047876007</v>
      </c>
    </row>
    <row r="40" spans="1:48" x14ac:dyDescent="0.2">
      <c r="C40" s="11"/>
      <c r="S40" s="7" t="s">
        <v>52</v>
      </c>
      <c r="T40" s="20">
        <f>O35/1000</f>
        <v>12.077</v>
      </c>
      <c r="U40" s="16">
        <f>P35</f>
        <v>6.0342157068481381E-2</v>
      </c>
    </row>
    <row r="41" spans="1:48" ht="16" x14ac:dyDescent="0.2">
      <c r="A41" s="21" t="s">
        <v>53</v>
      </c>
      <c r="B41" s="22">
        <f>B38+B37+B36</f>
        <v>6132</v>
      </c>
      <c r="C41" s="22">
        <f t="shared" ref="C41:O41" si="0">C38+C37+C36</f>
        <v>85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11111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18813</v>
      </c>
      <c r="O41" s="22">
        <f t="shared" si="0"/>
        <v>36141</v>
      </c>
      <c r="P41" s="17">
        <f>O41/O$39</f>
        <v>0.18057679047876007</v>
      </c>
      <c r="Q41" s="17" t="s">
        <v>54</v>
      </c>
      <c r="R41" s="7"/>
      <c r="S41" s="7" t="s">
        <v>55</v>
      </c>
      <c r="T41" s="20">
        <f>O33/1000</f>
        <v>6.423</v>
      </c>
      <c r="U41" s="15">
        <f>P33</f>
        <v>3.2092214527685341E-2</v>
      </c>
    </row>
    <row r="42" spans="1:48" ht="16" x14ac:dyDescent="0.2">
      <c r="A42" s="23" t="s">
        <v>56</v>
      </c>
      <c r="B42" s="22"/>
      <c r="C42" s="24">
        <f>C39+C23+C10</f>
        <v>65614</v>
      </c>
      <c r="D42" s="24">
        <f t="shared" ref="D42:L42" si="2">D39+D23+D10</f>
        <v>0</v>
      </c>
      <c r="E42" s="24">
        <f t="shared" si="2"/>
        <v>0</v>
      </c>
      <c r="F42" s="24">
        <f t="shared" si="2"/>
        <v>5717</v>
      </c>
      <c r="G42" s="24">
        <f t="shared" si="2"/>
        <v>110367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39100.639999999999</v>
      </c>
      <c r="O42" s="25">
        <f>SUM(C42:N42)</f>
        <v>220798.64</v>
      </c>
      <c r="P42" s="7"/>
      <c r="Q42" s="7"/>
      <c r="R42" s="7"/>
      <c r="S42" s="7" t="s">
        <v>37</v>
      </c>
      <c r="T42" s="20">
        <f>O31/1000</f>
        <v>7.3319999999999999</v>
      </c>
      <c r="U42" s="15">
        <f>P31</f>
        <v>3.6633989867194294E-2</v>
      </c>
    </row>
    <row r="43" spans="1:48" ht="16" x14ac:dyDescent="0.2">
      <c r="A43" s="23" t="s">
        <v>57</v>
      </c>
      <c r="B43" s="22"/>
      <c r="C43" s="17">
        <f t="shared" ref="C43:N43" si="4">C42/$O42</f>
        <v>0.29716668544697555</v>
      </c>
      <c r="D43" s="17">
        <f t="shared" si="4"/>
        <v>0</v>
      </c>
      <c r="E43" s="17">
        <f t="shared" si="4"/>
        <v>0</v>
      </c>
      <c r="F43" s="17">
        <f t="shared" si="4"/>
        <v>2.5892369626914366E-2</v>
      </c>
      <c r="G43" s="17">
        <f t="shared" si="4"/>
        <v>0.49985362228680391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0.1770873226393061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77.027000000000001</v>
      </c>
      <c r="U43" s="16">
        <f>P32</f>
        <v>0.38486174815880725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61.142000000000003</v>
      </c>
      <c r="U44" s="16">
        <f>P34</f>
        <v>0.30549309989907164</v>
      </c>
    </row>
    <row r="45" spans="1:48" ht="16" x14ac:dyDescent="0.2">
      <c r="A45" s="6" t="s">
        <v>60</v>
      </c>
      <c r="B45" s="6">
        <f>B23-B39</f>
        <v>5703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4054.64</v>
      </c>
      <c r="O45" s="25">
        <f>B45+N45</f>
        <v>9757.64</v>
      </c>
      <c r="P45" s="7"/>
      <c r="Q45" s="7"/>
      <c r="R45" s="7"/>
      <c r="S45" s="7" t="s">
        <v>61</v>
      </c>
      <c r="T45" s="20">
        <f>SUM(T39:T44)</f>
        <v>200.142</v>
      </c>
      <c r="U45" s="15">
        <f>SUM(U39:U44)</f>
        <v>1</v>
      </c>
    </row>
    <row r="46" spans="1:48" ht="16" x14ac:dyDescent="0.2">
      <c r="A46" s="6"/>
      <c r="B46" s="60">
        <f>B45/B23</f>
        <v>7.7532764152482461E-2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8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5" t="s">
        <v>134</v>
      </c>
      <c r="B49" s="7"/>
      <c r="C49" s="29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5" t="s">
        <v>135</v>
      </c>
      <c r="B50" s="2" t="s">
        <v>136</v>
      </c>
      <c r="C50" s="6" t="s">
        <v>98</v>
      </c>
      <c r="D50" s="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5" t="s">
        <v>137</v>
      </c>
      <c r="B51" s="67">
        <v>1.3</v>
      </c>
      <c r="C51" s="6">
        <f>B51*1000*9.1</f>
        <v>11830</v>
      </c>
      <c r="D51" s="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5" t="s">
        <v>138</v>
      </c>
      <c r="B52" s="67">
        <v>5.9</v>
      </c>
      <c r="C52" s="6">
        <f>B52*1000*9.77</f>
        <v>57643</v>
      </c>
      <c r="D52" s="32">
        <f>SUM(C51:C53)</f>
        <v>69473</v>
      </c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5" t="s">
        <v>139</v>
      </c>
      <c r="B53" s="67"/>
      <c r="C53" s="6">
        <f>B53*1000*5.9</f>
        <v>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 t="s">
        <v>140</v>
      </c>
      <c r="B54" s="67">
        <v>0.5</v>
      </c>
      <c r="C54" s="6">
        <f>B54*1000*9.95</f>
        <v>4975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 t="s">
        <v>142</v>
      </c>
      <c r="B55" s="67"/>
      <c r="C55" s="6">
        <f>B55*1000*10.6</f>
        <v>0</v>
      </c>
      <c r="D55" s="11">
        <f>SUM(C54:C55)</f>
        <v>4975</v>
      </c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C56" s="11">
        <f>SUM(C51:C55)</f>
        <v>74448</v>
      </c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8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67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23*0.95</f>
        <v>21.849999999999998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6">
        <f>B10-B9-B4</f>
        <v>2638320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65">
        <v>322587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2960907+B4</f>
        <v>2960928.85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67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132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53">
        <v>36708</v>
      </c>
      <c r="C18" s="53">
        <v>338</v>
      </c>
      <c r="D18" s="53">
        <v>0</v>
      </c>
      <c r="E18" s="53">
        <v>0</v>
      </c>
      <c r="F18" s="53">
        <v>0</v>
      </c>
      <c r="G18" s="53">
        <v>41851</v>
      </c>
      <c r="H18" s="53">
        <v>0</v>
      </c>
      <c r="I18" s="53"/>
      <c r="J18" s="53"/>
      <c r="K18" s="53"/>
      <c r="L18" s="53"/>
      <c r="M18" s="53"/>
      <c r="N18" s="53"/>
      <c r="O18" s="53">
        <v>42189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333.09907999999996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3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134.75807999999998</v>
      </c>
      <c r="U22" s="15">
        <f>N43</f>
        <v>0.40455854756488674</v>
      </c>
    </row>
    <row r="23" spans="1:21" ht="16" x14ac:dyDescent="0.2">
      <c r="A23" s="8" t="s">
        <v>17</v>
      </c>
      <c r="B23" s="53">
        <v>36708</v>
      </c>
      <c r="C23" s="53">
        <v>338</v>
      </c>
      <c r="D23" s="53">
        <v>0</v>
      </c>
      <c r="E23" s="53">
        <v>0</v>
      </c>
      <c r="F23" s="53">
        <v>0</v>
      </c>
      <c r="G23" s="53">
        <v>41851</v>
      </c>
      <c r="H23" s="53">
        <v>0</v>
      </c>
      <c r="I23" s="53"/>
      <c r="J23" s="53"/>
      <c r="K23" s="53"/>
      <c r="L23" s="53"/>
      <c r="M23" s="53"/>
      <c r="N23" s="53"/>
      <c r="O23" s="53">
        <v>42189</v>
      </c>
      <c r="P23" s="3"/>
      <c r="Q23" s="3"/>
      <c r="R23" s="3"/>
      <c r="S23" s="48" t="s">
        <v>131</v>
      </c>
      <c r="T23" s="13">
        <f>G42/1000</f>
        <v>59.929000000000002</v>
      </c>
      <c r="U23" s="16">
        <f>G43</f>
        <v>0.17991343596625967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10.523999999999999</v>
      </c>
      <c r="U25" s="15">
        <f>F43</f>
        <v>3.1594203142200218E-2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67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2056</v>
      </c>
      <c r="D31" s="53">
        <v>0</v>
      </c>
      <c r="E31" s="53">
        <v>0</v>
      </c>
      <c r="F31" s="53">
        <v>209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3646</v>
      </c>
      <c r="O31" s="53">
        <v>5911</v>
      </c>
      <c r="P31" s="17">
        <f>O31/O$39</f>
        <v>1.9081961074219823E-2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887</v>
      </c>
      <c r="C32" s="56">
        <v>825</v>
      </c>
      <c r="D32" s="53">
        <v>0</v>
      </c>
      <c r="E32" s="56">
        <v>0</v>
      </c>
      <c r="F32" s="53">
        <v>0</v>
      </c>
      <c r="G32" s="53">
        <v>188</v>
      </c>
      <c r="H32" s="53">
        <v>0</v>
      </c>
      <c r="I32" s="53"/>
      <c r="J32" s="53"/>
      <c r="K32" s="53"/>
      <c r="L32" s="53"/>
      <c r="M32" s="41"/>
      <c r="N32" s="56">
        <v>22898</v>
      </c>
      <c r="O32" s="56">
        <f>SUM(B32:N32)</f>
        <v>24798</v>
      </c>
      <c r="P32" s="17">
        <f>O32/O$39</f>
        <v>8.0053200933598911E-2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5271</v>
      </c>
      <c r="C33" s="53">
        <v>33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16167</v>
      </c>
      <c r="O33" s="53">
        <v>21472</v>
      </c>
      <c r="P33" s="17">
        <f>O33/O$39</f>
        <v>6.9316167854110641E-2</v>
      </c>
      <c r="Q33" s="18" t="s">
        <v>42</v>
      </c>
      <c r="R33" s="3"/>
      <c r="S33" s="48" t="s">
        <v>38</v>
      </c>
      <c r="T33" s="13">
        <f>C42/1000</f>
        <v>127.88800000000001</v>
      </c>
      <c r="U33" s="16">
        <f>C43</f>
        <v>0.38393381332665349</v>
      </c>
    </row>
    <row r="34" spans="1:48" ht="16" x14ac:dyDescent="0.2">
      <c r="A34" s="5" t="s">
        <v>43</v>
      </c>
      <c r="B34" s="53">
        <v>0</v>
      </c>
      <c r="C34" s="53">
        <v>121470</v>
      </c>
      <c r="D34" s="53">
        <v>0</v>
      </c>
      <c r="E34" s="53">
        <v>0</v>
      </c>
      <c r="F34" s="53">
        <v>10315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125</v>
      </c>
      <c r="O34" s="53">
        <v>131909</v>
      </c>
      <c r="P34" s="17">
        <f>O34/O$39</f>
        <v>0.42583021541858612</v>
      </c>
      <c r="Q34" s="18" t="s">
        <v>44</v>
      </c>
      <c r="R34" s="3"/>
      <c r="S34" s="3"/>
      <c r="T34" s="13">
        <f>SUM(T22:T33)</f>
        <v>333.09907999999996</v>
      </c>
      <c r="U34" s="15">
        <f>SUM(U22:U33)</f>
        <v>1</v>
      </c>
    </row>
    <row r="35" spans="1:48" ht="16" x14ac:dyDescent="0.2">
      <c r="A35" s="5" t="s">
        <v>45</v>
      </c>
      <c r="B35" s="53">
        <v>5851</v>
      </c>
      <c r="C35" s="53">
        <v>3003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18782</v>
      </c>
      <c r="O35" s="53">
        <v>27636</v>
      </c>
      <c r="P35" s="17">
        <f>O35/O$39</f>
        <v>8.9214866561857384E-2</v>
      </c>
      <c r="Q35" s="18" t="s">
        <v>46</v>
      </c>
      <c r="R35" s="18"/>
    </row>
    <row r="36" spans="1:48" ht="16" x14ac:dyDescent="0.2">
      <c r="A36" s="5" t="s">
        <v>47</v>
      </c>
      <c r="B36" s="53">
        <v>7013</v>
      </c>
      <c r="C36" s="56">
        <v>163</v>
      </c>
      <c r="D36" s="53">
        <v>0</v>
      </c>
      <c r="E36" s="53">
        <v>0</v>
      </c>
      <c r="F36" s="53">
        <v>0</v>
      </c>
      <c r="G36" s="53">
        <v>17889</v>
      </c>
      <c r="H36" s="53">
        <v>0</v>
      </c>
      <c r="I36" s="53"/>
      <c r="J36" s="53"/>
      <c r="K36" s="53"/>
      <c r="L36" s="53"/>
      <c r="M36" s="41"/>
      <c r="N36" s="53">
        <v>31947</v>
      </c>
      <c r="O36" s="56">
        <f>SUM(B36:N36)</f>
        <v>57012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9820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7360</v>
      </c>
      <c r="O37" s="53">
        <v>17180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23851</v>
      </c>
      <c r="O38" s="53">
        <v>23851</v>
      </c>
      <c r="P38" s="18">
        <f>SUM(P31:P35)</f>
        <v>0.68349641184237286</v>
      </c>
      <c r="Q38" s="18"/>
      <c r="R38" s="3"/>
      <c r="S38" s="7" t="s">
        <v>50</v>
      </c>
      <c r="T38" s="19">
        <f>O45/1000</f>
        <v>17.848080000000003</v>
      </c>
      <c r="U38" s="7"/>
    </row>
    <row r="39" spans="1:48" ht="16" x14ac:dyDescent="0.2">
      <c r="A39" s="5" t="s">
        <v>17</v>
      </c>
      <c r="B39" s="53">
        <v>28842</v>
      </c>
      <c r="C39" s="56">
        <f>SUM(C31:C38)</f>
        <v>127550</v>
      </c>
      <c r="D39" s="53">
        <v>0</v>
      </c>
      <c r="E39" s="56">
        <v>0</v>
      </c>
      <c r="F39" s="53">
        <v>10524</v>
      </c>
      <c r="G39" s="53">
        <v>18078</v>
      </c>
      <c r="H39" s="53">
        <v>0</v>
      </c>
      <c r="I39" s="53"/>
      <c r="J39" s="53"/>
      <c r="K39" s="53"/>
      <c r="L39" s="53"/>
      <c r="M39" s="41"/>
      <c r="N39" s="56">
        <f>SUM(N31:N38)</f>
        <v>124776</v>
      </c>
      <c r="O39" s="56">
        <f>SUM(O31:O38)</f>
        <v>309769</v>
      </c>
      <c r="P39" s="3"/>
      <c r="Q39" s="3"/>
      <c r="R39" s="3"/>
      <c r="S39" s="7" t="s">
        <v>51</v>
      </c>
      <c r="T39" s="20">
        <f>O41/1000</f>
        <v>98.043000000000006</v>
      </c>
      <c r="U39" s="15">
        <f>P41</f>
        <v>0.31650358815762714</v>
      </c>
    </row>
    <row r="40" spans="1:48" x14ac:dyDescent="0.2">
      <c r="S40" s="7" t="s">
        <v>52</v>
      </c>
      <c r="T40" s="20">
        <f>O35/1000</f>
        <v>27.635999999999999</v>
      </c>
      <c r="U40" s="16">
        <f>P35</f>
        <v>8.9214866561857384E-2</v>
      </c>
    </row>
    <row r="41" spans="1:48" ht="16" x14ac:dyDescent="0.2">
      <c r="A41" s="21" t="s">
        <v>53</v>
      </c>
      <c r="B41" s="22">
        <f>B38+B37+B36</f>
        <v>16833</v>
      </c>
      <c r="C41" s="22">
        <f t="shared" ref="C41:O41" si="0">C38+C37+C36</f>
        <v>163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17889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63158</v>
      </c>
      <c r="O41" s="22">
        <f t="shared" si="0"/>
        <v>98043</v>
      </c>
      <c r="P41" s="17">
        <f>O41/O$39</f>
        <v>0.31650358815762714</v>
      </c>
      <c r="Q41" s="17" t="s">
        <v>54</v>
      </c>
      <c r="R41" s="7"/>
      <c r="S41" s="7" t="s">
        <v>55</v>
      </c>
      <c r="T41" s="20">
        <f>O33/1000</f>
        <v>21.472000000000001</v>
      </c>
      <c r="U41" s="15">
        <f>P33</f>
        <v>6.9316167854110641E-2</v>
      </c>
    </row>
    <row r="42" spans="1:48" ht="16" x14ac:dyDescent="0.2">
      <c r="A42" s="23" t="s">
        <v>56</v>
      </c>
      <c r="B42" s="22"/>
      <c r="C42" s="24">
        <f>C39+C23+C10</f>
        <v>127888</v>
      </c>
      <c r="D42" s="24">
        <f>D39+J23+D10</f>
        <v>0</v>
      </c>
      <c r="E42" s="24">
        <f t="shared" ref="E42:L42" si="2">E39+E23+E10</f>
        <v>0</v>
      </c>
      <c r="F42" s="24">
        <f t="shared" si="2"/>
        <v>10524</v>
      </c>
      <c r="G42" s="24">
        <f t="shared" si="2"/>
        <v>59929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134758.07999999999</v>
      </c>
      <c r="O42" s="25">
        <f>SUM(C42:N42)</f>
        <v>333099.07999999996</v>
      </c>
      <c r="P42" s="7"/>
      <c r="Q42" s="7"/>
      <c r="R42" s="7"/>
      <c r="S42" s="7" t="s">
        <v>37</v>
      </c>
      <c r="T42" s="20">
        <f>O31/1000</f>
        <v>5.9109999999999996</v>
      </c>
      <c r="U42" s="15">
        <f>P31</f>
        <v>1.9081961074219823E-2</v>
      </c>
    </row>
    <row r="43" spans="1:48" ht="16" x14ac:dyDescent="0.2">
      <c r="A43" s="23" t="s">
        <v>57</v>
      </c>
      <c r="B43" s="22"/>
      <c r="C43" s="17">
        <f t="shared" ref="C43" si="4">C42/$O42</f>
        <v>0.38393381332665349</v>
      </c>
      <c r="D43" s="17">
        <f t="shared" ref="D43:N43" si="5">D42/$O42</f>
        <v>0</v>
      </c>
      <c r="E43" s="17">
        <f t="shared" si="5"/>
        <v>0</v>
      </c>
      <c r="F43" s="17">
        <f t="shared" si="5"/>
        <v>3.1594203142200218E-2</v>
      </c>
      <c r="G43" s="17">
        <f t="shared" si="5"/>
        <v>0.17991343596625967</v>
      </c>
      <c r="H43" s="17">
        <f t="shared" si="5"/>
        <v>0</v>
      </c>
      <c r="I43" s="17">
        <f t="shared" si="5"/>
        <v>0</v>
      </c>
      <c r="J43" s="17">
        <f t="shared" si="5"/>
        <v>0</v>
      </c>
      <c r="K43" s="17">
        <f t="shared" si="5"/>
        <v>0</v>
      </c>
      <c r="L43" s="17">
        <f t="shared" si="5"/>
        <v>0</v>
      </c>
      <c r="M43" s="17">
        <f t="shared" ref="M43" si="6">M42/$O42</f>
        <v>0</v>
      </c>
      <c r="N43" s="17">
        <f t="shared" si="5"/>
        <v>0.40455854756488674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24.797999999999998</v>
      </c>
      <c r="U43" s="16">
        <f>P32</f>
        <v>8.0053200933598911E-2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131.90899999999999</v>
      </c>
      <c r="U44" s="16">
        <f>P34</f>
        <v>0.42583021541858612</v>
      </c>
    </row>
    <row r="45" spans="1:48" ht="16" x14ac:dyDescent="0.2">
      <c r="A45" s="6" t="s">
        <v>60</v>
      </c>
      <c r="B45" s="6">
        <f>B23-B39</f>
        <v>7866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9982.08</v>
      </c>
      <c r="O45" s="25">
        <f>B45+N45</f>
        <v>17848.080000000002</v>
      </c>
      <c r="P45" s="7"/>
      <c r="Q45" s="7"/>
      <c r="R45" s="7"/>
      <c r="S45" s="7" t="s">
        <v>61</v>
      </c>
      <c r="T45" s="20">
        <f>SUM(T39:T44)</f>
        <v>309.76900000000001</v>
      </c>
      <c r="U45" s="15">
        <f>SUM(U39:U44)</f>
        <v>1</v>
      </c>
    </row>
    <row r="46" spans="1:48" ht="16" x14ac:dyDescent="0.2">
      <c r="A46" s="6"/>
      <c r="B46" s="60">
        <f>B45/B23</f>
        <v>0.21428571428571427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8"/>
      <c r="G48" s="27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5" t="s">
        <v>134</v>
      </c>
      <c r="B49" s="7"/>
      <c r="C49" s="29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8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5" t="s">
        <v>135</v>
      </c>
      <c r="B50" s="2" t="s">
        <v>136</v>
      </c>
      <c r="C50" s="6" t="s">
        <v>98</v>
      </c>
      <c r="D50" s="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5" t="s">
        <v>137</v>
      </c>
      <c r="B51" s="67">
        <v>4.0999999999999996</v>
      </c>
      <c r="C51" s="6">
        <f>B51*1000*8.94</f>
        <v>36654</v>
      </c>
      <c r="D51" s="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5" t="s">
        <v>138</v>
      </c>
      <c r="B52" s="67">
        <v>9.9</v>
      </c>
      <c r="C52" s="6">
        <f>B52*1000*9.737</f>
        <v>96396.3</v>
      </c>
      <c r="D52" s="32">
        <f>SUM(C51:C53)</f>
        <v>133050.29999999999</v>
      </c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5" t="s">
        <v>139</v>
      </c>
      <c r="B53" s="67"/>
      <c r="C53" s="6">
        <f>B53*1000*5.9</f>
        <v>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 t="s">
        <v>140</v>
      </c>
      <c r="B54" s="67">
        <v>0.8</v>
      </c>
      <c r="C54" s="6">
        <f>B54*1000*9.95</f>
        <v>7959.9999999999991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 t="s">
        <v>142</v>
      </c>
      <c r="B55" s="67"/>
      <c r="C55" s="6">
        <f>B55*1000*10.6</f>
        <v>0</v>
      </c>
      <c r="D55" s="11">
        <f>SUM(C54:C55)</f>
        <v>7959.9999999999991</v>
      </c>
      <c r="E55" s="27"/>
      <c r="F55" s="28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C56" s="11">
        <f>SUM(C51:C55)</f>
        <v>141010.29999999999</v>
      </c>
      <c r="E56" s="27"/>
      <c r="F56" s="28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pageSetup paperSize="9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9" enableFormatConditionsCalculation="0"/>
  <dimension ref="A1:AV70"/>
  <sheetViews>
    <sheetView workbookViewId="0">
      <selection activeCell="C36" sqref="C36"/>
    </sheetView>
  </sheetViews>
  <sheetFormatPr baseColWidth="10" defaultColWidth="8.6640625" defaultRowHeight="15" x14ac:dyDescent="0.2"/>
  <cols>
    <col min="1" max="1" width="22.5" style="2" customWidth="1"/>
    <col min="2" max="2" width="12" style="2" customWidth="1"/>
    <col min="3" max="3" width="11.1640625" style="2" customWidth="1"/>
    <col min="4" max="11" width="8.6640625" style="2"/>
    <col min="12" max="13" width="5.6640625" style="2" customWidth="1"/>
    <col min="14" max="20" width="8.6640625" style="2"/>
    <col min="21" max="21" width="10.1640625" style="2" bestFit="1" customWidth="1"/>
    <col min="22" max="16384" width="8.6640625" style="2"/>
  </cols>
  <sheetData>
    <row r="1" spans="1:21" ht="19" x14ac:dyDescent="0.25">
      <c r="A1" s="1" t="s">
        <v>0</v>
      </c>
      <c r="P1" s="3"/>
      <c r="Q1" s="3"/>
      <c r="R1" s="3"/>
      <c r="S1" s="3"/>
      <c r="T1" s="3"/>
      <c r="U1" s="3"/>
    </row>
    <row r="2" spans="1:21" ht="16" x14ac:dyDescent="0.2">
      <c r="A2" s="4" t="s">
        <v>68</v>
      </c>
      <c r="P2" s="3"/>
      <c r="Q2" s="3"/>
      <c r="R2" s="3"/>
      <c r="S2" s="3"/>
      <c r="T2" s="3"/>
      <c r="U2" s="3"/>
    </row>
    <row r="3" spans="1:21" ht="16" x14ac:dyDescent="0.2">
      <c r="A3" s="5">
        <v>2015</v>
      </c>
      <c r="B3" s="6" t="s">
        <v>2</v>
      </c>
      <c r="C3" s="6" t="s">
        <v>38</v>
      </c>
      <c r="D3" s="6" t="s">
        <v>4</v>
      </c>
      <c r="E3" s="6" t="s">
        <v>5</v>
      </c>
      <c r="F3" s="6" t="s">
        <v>20</v>
      </c>
      <c r="G3" s="6" t="s">
        <v>131</v>
      </c>
      <c r="H3" s="6" t="s">
        <v>7</v>
      </c>
      <c r="I3" s="6" t="s">
        <v>6</v>
      </c>
      <c r="J3" s="6" t="s">
        <v>8</v>
      </c>
      <c r="K3" s="6" t="s">
        <v>9</v>
      </c>
      <c r="L3" s="6" t="s">
        <v>10</v>
      </c>
      <c r="M3" s="6" t="s">
        <v>10</v>
      </c>
      <c r="N3" s="6"/>
      <c r="O3" s="7" t="s">
        <v>12</v>
      </c>
      <c r="P3" s="3"/>
      <c r="Q3" s="3"/>
      <c r="R3" s="3"/>
      <c r="S3" s="3"/>
      <c r="T3" s="3"/>
      <c r="U3" s="3"/>
    </row>
    <row r="4" spans="1:21" ht="16" x14ac:dyDescent="0.2">
      <c r="A4" s="5" t="s">
        <v>158</v>
      </c>
      <c r="B4" s="62">
        <f>10*0.95</f>
        <v>9.5</v>
      </c>
      <c r="P4" s="3"/>
      <c r="Q4" s="3"/>
      <c r="R4" s="3"/>
      <c r="S4" s="3"/>
      <c r="T4" s="3"/>
      <c r="U4" s="3"/>
    </row>
    <row r="5" spans="1:21" ht="16" x14ac:dyDescent="0.2">
      <c r="A5" s="5"/>
      <c r="P5" s="3"/>
      <c r="Q5" s="3"/>
      <c r="R5" s="3"/>
      <c r="S5" s="3"/>
      <c r="T5" s="3"/>
      <c r="U5" s="3"/>
    </row>
    <row r="6" spans="1:21" ht="16" x14ac:dyDescent="0.2">
      <c r="A6" s="8" t="s">
        <v>13</v>
      </c>
      <c r="B6" s="53">
        <v>0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/>
      <c r="J6" s="53"/>
      <c r="K6" s="53"/>
      <c r="L6" s="53"/>
      <c r="M6" s="53"/>
      <c r="N6" s="53"/>
      <c r="O6" s="53">
        <v>0</v>
      </c>
      <c r="P6" s="3"/>
      <c r="Q6" s="3"/>
      <c r="R6" s="3"/>
      <c r="S6" s="3"/>
      <c r="T6" s="3"/>
      <c r="U6" s="3"/>
    </row>
    <row r="7" spans="1:21" ht="16" x14ac:dyDescent="0.2">
      <c r="A7" s="8" t="s">
        <v>14</v>
      </c>
      <c r="B7" s="53">
        <v>0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/>
      <c r="J7" s="53"/>
      <c r="K7" s="53"/>
      <c r="L7" s="53"/>
      <c r="M7" s="53"/>
      <c r="N7" s="53"/>
      <c r="O7" s="53">
        <v>0</v>
      </c>
      <c r="P7" s="3"/>
      <c r="Q7" s="3"/>
      <c r="R7" s="3"/>
      <c r="S7" s="3"/>
      <c r="T7" s="3"/>
      <c r="U7" s="3"/>
    </row>
    <row r="8" spans="1:21" ht="16" x14ac:dyDescent="0.2">
      <c r="A8" s="8" t="s">
        <v>15</v>
      </c>
      <c r="B8" s="53">
        <v>794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/>
      <c r="J8" s="53"/>
      <c r="K8" s="53"/>
      <c r="L8" s="53"/>
      <c r="M8" s="53"/>
      <c r="N8" s="53"/>
      <c r="O8" s="53">
        <v>0</v>
      </c>
      <c r="P8" s="3"/>
      <c r="Q8" s="3"/>
      <c r="R8" s="3"/>
      <c r="S8" s="3"/>
      <c r="T8" s="3"/>
      <c r="U8" s="3"/>
    </row>
    <row r="9" spans="1:21" ht="16" x14ac:dyDescent="0.2">
      <c r="A9" s="8" t="s">
        <v>16</v>
      </c>
      <c r="B9" s="65">
        <v>148047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/>
      <c r="J9" s="53"/>
      <c r="K9" s="53"/>
      <c r="L9" s="53"/>
      <c r="M9" s="53"/>
      <c r="N9" s="53"/>
      <c r="O9" s="53">
        <v>0</v>
      </c>
      <c r="P9" s="3"/>
      <c r="Q9" s="3"/>
      <c r="R9" s="3"/>
      <c r="S9" s="3"/>
      <c r="T9" s="3"/>
      <c r="U9" s="3"/>
    </row>
    <row r="10" spans="1:21" ht="16" x14ac:dyDescent="0.2">
      <c r="A10" s="8" t="s">
        <v>17</v>
      </c>
      <c r="B10" s="56">
        <f>SUM(B4:B9)</f>
        <v>148850.5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/>
      <c r="J10" s="53"/>
      <c r="K10" s="53"/>
      <c r="L10" s="53"/>
      <c r="M10" s="53"/>
      <c r="N10" s="53"/>
      <c r="O10" s="53">
        <v>0</v>
      </c>
      <c r="P10" s="3"/>
      <c r="Q10" s="3"/>
      <c r="R10" s="3"/>
      <c r="S10" s="3"/>
      <c r="T10" s="3"/>
      <c r="U10" s="3"/>
    </row>
    <row r="11" spans="1:21" ht="16" x14ac:dyDescent="0.2"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3"/>
      <c r="Q11" s="3"/>
      <c r="R11" s="3"/>
      <c r="S11" s="3"/>
      <c r="T11" s="3"/>
      <c r="U11" s="3"/>
    </row>
    <row r="12" spans="1:21" ht="16" x14ac:dyDescent="0.2"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3"/>
      <c r="Q12" s="3"/>
      <c r="R12" s="3"/>
      <c r="S12" s="3"/>
      <c r="T12" s="3"/>
      <c r="U12" s="3"/>
    </row>
    <row r="13" spans="1:21" ht="19" x14ac:dyDescent="0.25">
      <c r="A13" s="1" t="s">
        <v>18</v>
      </c>
      <c r="B13" s="12"/>
      <c r="C13" s="12"/>
      <c r="D13" s="12"/>
      <c r="E13" s="12"/>
      <c r="F13" s="12"/>
      <c r="G13" s="12"/>
      <c r="H13" s="12"/>
      <c r="I13" s="11"/>
      <c r="J13" s="11"/>
      <c r="K13" s="11"/>
      <c r="L13" s="11"/>
      <c r="M13" s="11"/>
      <c r="N13" s="11"/>
      <c r="O13" s="12"/>
      <c r="P13" s="3"/>
      <c r="Q13" s="3"/>
      <c r="R13" s="3"/>
      <c r="S13" s="3"/>
      <c r="T13" s="3"/>
      <c r="U13" s="3"/>
    </row>
    <row r="14" spans="1:21" ht="16" x14ac:dyDescent="0.2">
      <c r="A14" s="4" t="s">
        <v>68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3"/>
      <c r="Q14" s="3"/>
      <c r="R14" s="3"/>
      <c r="S14" s="3"/>
      <c r="T14" s="3"/>
      <c r="U14" s="3"/>
    </row>
    <row r="15" spans="1:21" ht="16" x14ac:dyDescent="0.2">
      <c r="B15" s="6" t="s">
        <v>19</v>
      </c>
      <c r="C15" s="6" t="s">
        <v>38</v>
      </c>
      <c r="D15" s="6" t="s">
        <v>4</v>
      </c>
      <c r="E15" s="6" t="s">
        <v>5</v>
      </c>
      <c r="F15" s="6" t="s">
        <v>20</v>
      </c>
      <c r="G15" s="6" t="s">
        <v>131</v>
      </c>
      <c r="H15" s="6" t="s">
        <v>7</v>
      </c>
      <c r="I15" s="6" t="s">
        <v>6</v>
      </c>
      <c r="J15" s="6" t="s">
        <v>8</v>
      </c>
      <c r="K15" s="6" t="s">
        <v>9</v>
      </c>
      <c r="L15" s="6" t="s">
        <v>10</v>
      </c>
      <c r="M15" s="6" t="s">
        <v>10</v>
      </c>
      <c r="N15" s="6" t="s">
        <v>11</v>
      </c>
      <c r="O15" s="11" t="s">
        <v>12</v>
      </c>
      <c r="P15" s="3"/>
      <c r="Q15" s="3"/>
      <c r="R15" s="3"/>
      <c r="S15" s="3"/>
      <c r="T15" s="3"/>
      <c r="U15" s="3"/>
    </row>
    <row r="16" spans="1:21" ht="16" x14ac:dyDescent="0.2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3"/>
      <c r="Q16" s="3"/>
      <c r="R16" s="3"/>
      <c r="S16" s="3"/>
      <c r="T16" s="3"/>
      <c r="U16" s="3"/>
    </row>
    <row r="17" spans="1:21" ht="16" x14ac:dyDescent="0.2">
      <c r="A17" s="8" t="s">
        <v>21</v>
      </c>
      <c r="B17" s="53">
        <v>0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/>
      <c r="J17" s="53"/>
      <c r="K17" s="53"/>
      <c r="L17" s="53"/>
      <c r="M17" s="53"/>
      <c r="N17" s="53"/>
      <c r="O17" s="53">
        <v>0</v>
      </c>
      <c r="P17" s="3"/>
      <c r="Q17" s="3"/>
      <c r="R17" s="3"/>
      <c r="S17" s="3"/>
      <c r="T17" s="3"/>
      <c r="U17" s="3"/>
    </row>
    <row r="18" spans="1:21" ht="16" x14ac:dyDescent="0.2">
      <c r="A18" s="8" t="s">
        <v>22</v>
      </c>
      <c r="B18" s="63">
        <f>16212</f>
        <v>16212</v>
      </c>
      <c r="C18" s="53">
        <v>318</v>
      </c>
      <c r="D18" s="53">
        <v>0</v>
      </c>
      <c r="E18" s="53">
        <v>0</v>
      </c>
      <c r="F18" s="53">
        <v>0</v>
      </c>
      <c r="G18" s="53">
        <v>18458</v>
      </c>
      <c r="H18" s="53">
        <v>0</v>
      </c>
      <c r="I18" s="53"/>
      <c r="J18" s="53"/>
      <c r="K18" s="53"/>
      <c r="L18" s="53"/>
      <c r="M18" s="53"/>
      <c r="N18" s="53"/>
      <c r="O18" s="53">
        <v>18777</v>
      </c>
      <c r="P18" s="3"/>
      <c r="Q18" s="3"/>
      <c r="R18" s="3"/>
      <c r="S18" s="3"/>
      <c r="T18" s="3"/>
      <c r="U18" s="3"/>
    </row>
    <row r="19" spans="1:21" ht="16" x14ac:dyDescent="0.2">
      <c r="A19" s="8" t="s">
        <v>23</v>
      </c>
      <c r="B19" s="53">
        <v>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/>
      <c r="J19" s="53"/>
      <c r="K19" s="53"/>
      <c r="L19" s="53"/>
      <c r="M19" s="53"/>
      <c r="N19" s="53"/>
      <c r="O19" s="53">
        <v>0</v>
      </c>
      <c r="P19" s="3"/>
      <c r="Q19" s="3"/>
      <c r="R19" s="3"/>
      <c r="S19" s="3" t="s">
        <v>27</v>
      </c>
      <c r="T19" s="13">
        <f>O42/1000</f>
        <v>117.70126904231626</v>
      </c>
      <c r="U19" s="3"/>
    </row>
    <row r="20" spans="1:21" ht="16" x14ac:dyDescent="0.2">
      <c r="A20" s="8" t="s">
        <v>24</v>
      </c>
      <c r="B20" s="53">
        <v>0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/>
      <c r="J20" s="53"/>
      <c r="K20" s="53"/>
      <c r="L20" s="53"/>
      <c r="M20" s="53"/>
      <c r="N20" s="53"/>
      <c r="O20" s="53">
        <v>0</v>
      </c>
      <c r="P20" s="3"/>
      <c r="Q20" s="3"/>
      <c r="R20" s="3"/>
      <c r="S20" s="3"/>
      <c r="T20" s="3"/>
      <c r="U20" s="3"/>
    </row>
    <row r="21" spans="1:21" ht="16" x14ac:dyDescent="0.2">
      <c r="A21" s="8" t="s">
        <v>25</v>
      </c>
      <c r="B21" s="53">
        <v>0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/>
      <c r="J21" s="53"/>
      <c r="K21" s="53"/>
      <c r="L21" s="53"/>
      <c r="M21" s="53"/>
      <c r="N21" s="53"/>
      <c r="O21" s="53">
        <v>0</v>
      </c>
      <c r="P21" s="3"/>
      <c r="Q21" s="3"/>
      <c r="R21" s="3"/>
      <c r="S21" s="3"/>
      <c r="T21" s="3" t="s">
        <v>28</v>
      </c>
      <c r="U21" s="3" t="s">
        <v>29</v>
      </c>
    </row>
    <row r="22" spans="1:21" ht="16" x14ac:dyDescent="0.2">
      <c r="A22" s="8" t="s">
        <v>26</v>
      </c>
      <c r="B22" s="56">
        <v>0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/>
      <c r="J22" s="53"/>
      <c r="K22" s="53"/>
      <c r="L22" s="53"/>
      <c r="M22" s="53"/>
      <c r="N22" s="53"/>
      <c r="O22" s="53">
        <v>0</v>
      </c>
      <c r="P22" s="3"/>
      <c r="Q22" s="3"/>
      <c r="R22" s="3"/>
      <c r="S22" s="48" t="s">
        <v>11</v>
      </c>
      <c r="T22" s="13">
        <f>N42/1000</f>
        <v>40.368632071269488</v>
      </c>
      <c r="U22" s="15">
        <f>N43</f>
        <v>0.34297533407865005</v>
      </c>
    </row>
    <row r="23" spans="1:21" ht="16" x14ac:dyDescent="0.2">
      <c r="A23" s="8" t="s">
        <v>17</v>
      </c>
      <c r="B23" s="53">
        <f>SUM(B17:B22)</f>
        <v>16212</v>
      </c>
      <c r="C23" s="53">
        <v>318</v>
      </c>
      <c r="D23" s="53">
        <v>0</v>
      </c>
      <c r="E23" s="53">
        <v>0</v>
      </c>
      <c r="F23" s="53">
        <v>0</v>
      </c>
      <c r="G23" s="53">
        <v>18458</v>
      </c>
      <c r="H23" s="53">
        <v>0</v>
      </c>
      <c r="I23" s="53"/>
      <c r="J23" s="53"/>
      <c r="K23" s="53"/>
      <c r="L23" s="53"/>
      <c r="M23" s="53"/>
      <c r="N23" s="53"/>
      <c r="O23" s="53">
        <v>18777</v>
      </c>
      <c r="P23" s="3"/>
      <c r="Q23" s="3"/>
      <c r="R23" s="3"/>
      <c r="S23" s="48" t="s">
        <v>131</v>
      </c>
      <c r="T23" s="13">
        <f>G42/1000</f>
        <v>29.501636971046771</v>
      </c>
      <c r="U23" s="16">
        <f>G43</f>
        <v>0.25064841875613308</v>
      </c>
    </row>
    <row r="24" spans="1:21" ht="16" x14ac:dyDescent="0.2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3"/>
      <c r="Q24" s="3"/>
      <c r="R24" s="3"/>
      <c r="S24" s="57" t="str">
        <f>J29</f>
        <v>Torv</v>
      </c>
      <c r="T24" s="13">
        <f>J42/1000</f>
        <v>0</v>
      </c>
      <c r="U24" s="15">
        <f>J43</f>
        <v>0</v>
      </c>
    </row>
    <row r="25" spans="1:21" ht="16" x14ac:dyDescent="0.2"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3"/>
      <c r="Q25" s="3"/>
      <c r="R25" s="3"/>
      <c r="S25" s="48" t="s">
        <v>32</v>
      </c>
      <c r="T25" s="13">
        <f>F42/1000</f>
        <v>3.4689999999999999</v>
      </c>
      <c r="U25" s="15">
        <f>F43</f>
        <v>2.9472919266085536E-2</v>
      </c>
    </row>
    <row r="26" spans="1:21" ht="16" x14ac:dyDescent="0.2"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"/>
      <c r="Q26" s="3"/>
      <c r="R26" s="3"/>
      <c r="S26" s="48" t="s">
        <v>5</v>
      </c>
      <c r="T26" s="13">
        <f>E42/1000</f>
        <v>0</v>
      </c>
      <c r="U26" s="15">
        <f>E43</f>
        <v>0</v>
      </c>
    </row>
    <row r="27" spans="1:21" ht="19" x14ac:dyDescent="0.25">
      <c r="A27" s="1" t="s">
        <v>30</v>
      </c>
      <c r="B27" s="12"/>
      <c r="C27" s="12"/>
      <c r="D27" s="12"/>
      <c r="E27" s="12"/>
      <c r="F27" s="12"/>
      <c r="G27" s="12"/>
      <c r="H27" s="11"/>
      <c r="I27" s="11"/>
      <c r="J27" s="11"/>
      <c r="K27" s="11"/>
      <c r="L27" s="11"/>
      <c r="M27" s="11"/>
      <c r="N27" s="11"/>
      <c r="O27" s="11"/>
      <c r="P27" s="3"/>
      <c r="Q27" s="3"/>
      <c r="R27" s="3"/>
      <c r="S27" s="58" t="str">
        <f>D29</f>
        <v>Kol och koks</v>
      </c>
      <c r="T27" s="59">
        <f>D42/1000</f>
        <v>0</v>
      </c>
      <c r="U27" s="54">
        <f>D43</f>
        <v>0</v>
      </c>
    </row>
    <row r="28" spans="1:21" ht="16" x14ac:dyDescent="0.2">
      <c r="A28" s="4" t="s">
        <v>68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3"/>
      <c r="Q28" s="3"/>
      <c r="R28" s="3"/>
      <c r="S28" s="58" t="str">
        <f>K29</f>
        <v>Avfall</v>
      </c>
      <c r="T28" s="59">
        <f>K42/1000</f>
        <v>0</v>
      </c>
      <c r="U28" s="54">
        <f>K43</f>
        <v>0</v>
      </c>
    </row>
    <row r="29" spans="1:21" ht="16" x14ac:dyDescent="0.2">
      <c r="B29" s="6" t="s">
        <v>31</v>
      </c>
      <c r="C29" s="6" t="s">
        <v>38</v>
      </c>
      <c r="D29" s="6" t="s">
        <v>4</v>
      </c>
      <c r="E29" s="6" t="s">
        <v>5</v>
      </c>
      <c r="F29" s="6" t="s">
        <v>32</v>
      </c>
      <c r="G29" s="6" t="s">
        <v>131</v>
      </c>
      <c r="H29" s="6" t="s">
        <v>7</v>
      </c>
      <c r="I29" s="6" t="s">
        <v>6</v>
      </c>
      <c r="J29" s="6" t="s">
        <v>8</v>
      </c>
      <c r="K29" s="6" t="s">
        <v>9</v>
      </c>
      <c r="L29" s="6" t="s">
        <v>10</v>
      </c>
      <c r="M29" s="6" t="s">
        <v>10</v>
      </c>
      <c r="N29" s="6" t="s">
        <v>11</v>
      </c>
      <c r="O29" s="6" t="s">
        <v>34</v>
      </c>
      <c r="P29" s="3"/>
      <c r="Q29" s="3"/>
      <c r="R29" s="3"/>
      <c r="S29" s="57" t="str">
        <f>I29</f>
        <v>Avlutar</v>
      </c>
      <c r="T29" s="13">
        <f>I42/1000</f>
        <v>0</v>
      </c>
      <c r="U29" s="15">
        <f>I43</f>
        <v>0</v>
      </c>
    </row>
    <row r="30" spans="1:21" ht="16" x14ac:dyDescent="0.2"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3"/>
      <c r="Q30" s="3"/>
      <c r="R30" s="3"/>
      <c r="S30" s="57" t="str">
        <f>H29</f>
        <v>Biogas</v>
      </c>
      <c r="T30" s="13">
        <f>H42/1000</f>
        <v>0</v>
      </c>
      <c r="U30" s="15">
        <f>H43</f>
        <v>0</v>
      </c>
    </row>
    <row r="31" spans="1:21" ht="16" x14ac:dyDescent="0.2">
      <c r="A31" s="5" t="s">
        <v>36</v>
      </c>
      <c r="B31" s="53">
        <v>0</v>
      </c>
      <c r="C31" s="53">
        <v>1697</v>
      </c>
      <c r="D31" s="53">
        <v>0</v>
      </c>
      <c r="E31" s="53">
        <v>0</v>
      </c>
      <c r="F31" s="53">
        <v>176</v>
      </c>
      <c r="G31" s="53">
        <v>0</v>
      </c>
      <c r="H31" s="53">
        <v>0</v>
      </c>
      <c r="I31" s="53"/>
      <c r="J31" s="53"/>
      <c r="K31" s="53"/>
      <c r="L31" s="53"/>
      <c r="M31" s="41"/>
      <c r="N31" s="53">
        <v>1776</v>
      </c>
      <c r="O31" s="53">
        <v>3648</v>
      </c>
      <c r="P31" s="17">
        <f>O31/O$39</f>
        <v>3.3289835102160006E-2</v>
      </c>
      <c r="Q31" s="18" t="s">
        <v>37</v>
      </c>
      <c r="R31" s="3"/>
      <c r="S31" s="58" t="str">
        <f>L29</f>
        <v>Övrigt</v>
      </c>
      <c r="T31" s="13">
        <f>L42/1000</f>
        <v>0</v>
      </c>
      <c r="U31" s="54">
        <f>L43</f>
        <v>0</v>
      </c>
    </row>
    <row r="32" spans="1:21" ht="16" x14ac:dyDescent="0.2">
      <c r="A32" s="5" t="s">
        <v>39</v>
      </c>
      <c r="B32" s="53">
        <v>872</v>
      </c>
      <c r="C32" s="56">
        <v>100</v>
      </c>
      <c r="D32" s="53">
        <v>0</v>
      </c>
      <c r="E32" s="53">
        <v>0</v>
      </c>
      <c r="F32" s="53">
        <v>0</v>
      </c>
      <c r="G32" s="56">
        <f>(O32-C32-B32)*2422/(3864+2422)</f>
        <v>2347.6369710467707</v>
      </c>
      <c r="H32" s="53">
        <v>0</v>
      </c>
      <c r="I32" s="53"/>
      <c r="J32" s="53"/>
      <c r="K32" s="53"/>
      <c r="L32" s="53"/>
      <c r="M32" s="41"/>
      <c r="N32" s="56">
        <f>(O32-C32-B32)*3864/(3864+2422)</f>
        <v>3745.3630289532293</v>
      </c>
      <c r="O32" s="53">
        <v>7065</v>
      </c>
      <c r="P32" s="17">
        <f>O32/O$39</f>
        <v>6.4471679001304946E-2</v>
      </c>
      <c r="Q32" s="18" t="s">
        <v>40</v>
      </c>
      <c r="R32" s="3"/>
      <c r="S32" s="58" t="str">
        <f>M29</f>
        <v>Övrigt</v>
      </c>
      <c r="T32" s="59">
        <f>M42</f>
        <v>0</v>
      </c>
      <c r="U32" s="54">
        <f>M43</f>
        <v>0</v>
      </c>
    </row>
    <row r="33" spans="1:48" ht="16" x14ac:dyDescent="0.2">
      <c r="A33" s="5" t="s">
        <v>41</v>
      </c>
      <c r="B33" s="53">
        <v>3462</v>
      </c>
      <c r="C33" s="53">
        <v>299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/>
      <c r="J33" s="53"/>
      <c r="K33" s="53"/>
      <c r="L33" s="53"/>
      <c r="M33" s="41"/>
      <c r="N33" s="53">
        <v>6432</v>
      </c>
      <c r="O33" s="53">
        <v>10192</v>
      </c>
      <c r="P33" s="17">
        <f>O33/O$39</f>
        <v>9.3007127017876862E-2</v>
      </c>
      <c r="Q33" s="18" t="s">
        <v>42</v>
      </c>
      <c r="R33" s="3"/>
      <c r="S33" s="48" t="s">
        <v>38</v>
      </c>
      <c r="T33" s="13">
        <f>C42/1000</f>
        <v>44.362000000000002</v>
      </c>
      <c r="U33" s="16">
        <f>C43</f>
        <v>0.37690332789913134</v>
      </c>
    </row>
    <row r="34" spans="1:48" ht="16" x14ac:dyDescent="0.2">
      <c r="A34" s="5" t="s">
        <v>43</v>
      </c>
      <c r="B34" s="53">
        <v>0</v>
      </c>
      <c r="C34" s="53">
        <v>41394</v>
      </c>
      <c r="D34" s="53">
        <v>0</v>
      </c>
      <c r="E34" s="53">
        <v>0</v>
      </c>
      <c r="F34" s="53">
        <v>3294</v>
      </c>
      <c r="G34" s="53">
        <v>0</v>
      </c>
      <c r="H34" s="53">
        <v>0</v>
      </c>
      <c r="I34" s="53"/>
      <c r="J34" s="53"/>
      <c r="K34" s="53"/>
      <c r="L34" s="53"/>
      <c r="M34" s="41"/>
      <c r="N34" s="53">
        <v>184</v>
      </c>
      <c r="O34" s="53">
        <v>44871</v>
      </c>
      <c r="P34" s="17">
        <f>O34/O$39</f>
        <v>0.40947044705839408</v>
      </c>
      <c r="Q34" s="18" t="s">
        <v>44</v>
      </c>
      <c r="R34" s="3"/>
      <c r="S34" s="3"/>
      <c r="T34" s="13">
        <f>SUM(T22:T33)</f>
        <v>117.70126904231626</v>
      </c>
      <c r="U34" s="15">
        <f>SUM(U22:U33)</f>
        <v>1</v>
      </c>
    </row>
    <row r="35" spans="1:48" ht="16" x14ac:dyDescent="0.2">
      <c r="A35" s="5" t="s">
        <v>45</v>
      </c>
      <c r="B35" s="53">
        <v>2637</v>
      </c>
      <c r="C35" s="53">
        <v>485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/>
      <c r="J35" s="53"/>
      <c r="K35" s="53"/>
      <c r="L35" s="53"/>
      <c r="M35" s="41"/>
      <c r="N35" s="53">
        <v>6525</v>
      </c>
      <c r="O35" s="53">
        <v>9647</v>
      </c>
      <c r="P35" s="17">
        <f>O35/O$39</f>
        <v>8.8033727859248234E-2</v>
      </c>
      <c r="Q35" s="18" t="s">
        <v>46</v>
      </c>
      <c r="R35" s="18"/>
    </row>
    <row r="36" spans="1:48" ht="16" x14ac:dyDescent="0.2">
      <c r="A36" s="5" t="s">
        <v>47</v>
      </c>
      <c r="B36" s="53">
        <v>4272</v>
      </c>
      <c r="C36" s="56">
        <v>69</v>
      </c>
      <c r="D36" s="53">
        <v>0</v>
      </c>
      <c r="E36" s="53">
        <v>0</v>
      </c>
      <c r="F36" s="53">
        <v>0</v>
      </c>
      <c r="G36" s="53">
        <v>8696</v>
      </c>
      <c r="H36" s="53">
        <v>0</v>
      </c>
      <c r="I36" s="53"/>
      <c r="J36" s="53"/>
      <c r="K36" s="53"/>
      <c r="L36" s="53"/>
      <c r="M36" s="41"/>
      <c r="N36" s="53">
        <v>13033</v>
      </c>
      <c r="O36" s="56">
        <f>SUM(B36:N36)</f>
        <v>26070</v>
      </c>
      <c r="P36" s="18"/>
      <c r="Q36" s="18"/>
      <c r="R36" s="3"/>
      <c r="S36" s="7"/>
      <c r="T36" s="7"/>
      <c r="U36" s="7"/>
    </row>
    <row r="37" spans="1:48" ht="16" x14ac:dyDescent="0.2">
      <c r="A37" s="5" t="s">
        <v>48</v>
      </c>
      <c r="B37" s="53">
        <v>2407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/>
      <c r="J37" s="53"/>
      <c r="K37" s="53"/>
      <c r="L37" s="53"/>
      <c r="M37" s="41"/>
      <c r="N37" s="53">
        <v>1078</v>
      </c>
      <c r="O37" s="53">
        <v>3485</v>
      </c>
      <c r="P37" s="18"/>
      <c r="Q37" s="18"/>
      <c r="R37" s="3"/>
      <c r="S37" s="7"/>
      <c r="T37" s="7" t="s">
        <v>28</v>
      </c>
      <c r="U37" s="7" t="s">
        <v>29</v>
      </c>
    </row>
    <row r="38" spans="1:48" ht="16" x14ac:dyDescent="0.2">
      <c r="A38" s="5" t="s">
        <v>49</v>
      </c>
      <c r="B38" s="53">
        <v>0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/>
      <c r="J38" s="53"/>
      <c r="K38" s="53"/>
      <c r="L38" s="53"/>
      <c r="M38" s="41"/>
      <c r="N38" s="53">
        <v>4605</v>
      </c>
      <c r="O38" s="53">
        <v>4605</v>
      </c>
      <c r="P38" s="18">
        <f>SUM(P31:P35)</f>
        <v>0.68827281603898416</v>
      </c>
      <c r="Q38" s="18"/>
      <c r="R38" s="3"/>
      <c r="S38" s="7" t="s">
        <v>50</v>
      </c>
      <c r="T38" s="19">
        <f>O45/1000</f>
        <v>5.5522690423162588</v>
      </c>
      <c r="U38" s="7"/>
    </row>
    <row r="39" spans="1:48" ht="16" x14ac:dyDescent="0.2">
      <c r="A39" s="5" t="s">
        <v>17</v>
      </c>
      <c r="B39" s="53">
        <v>13650</v>
      </c>
      <c r="C39" s="56">
        <f>SUM(C31:C38)</f>
        <v>44044</v>
      </c>
      <c r="D39" s="53">
        <v>0</v>
      </c>
      <c r="E39" s="53">
        <v>0</v>
      </c>
      <c r="F39" s="53">
        <v>3469</v>
      </c>
      <c r="G39" s="56">
        <f>SUM(G31:G38)</f>
        <v>11043.63697104677</v>
      </c>
      <c r="H39" s="53">
        <v>0</v>
      </c>
      <c r="I39" s="53"/>
      <c r="J39" s="53"/>
      <c r="K39" s="53"/>
      <c r="L39" s="53"/>
      <c r="M39" s="41"/>
      <c r="N39" s="56">
        <f>SUM(N31:N38)</f>
        <v>37378.36302895323</v>
      </c>
      <c r="O39" s="56">
        <f>SUM(O31:O38)</f>
        <v>109583</v>
      </c>
      <c r="P39" s="3"/>
      <c r="Q39" s="3"/>
      <c r="R39" s="3"/>
      <c r="S39" s="7" t="s">
        <v>51</v>
      </c>
      <c r="T39" s="20">
        <f>O41/1000</f>
        <v>34.159999999999997</v>
      </c>
      <c r="U39" s="15">
        <f>P41</f>
        <v>0.31172718396101584</v>
      </c>
    </row>
    <row r="40" spans="1:48" x14ac:dyDescent="0.2">
      <c r="O40" s="11"/>
      <c r="S40" s="7" t="s">
        <v>52</v>
      </c>
      <c r="T40" s="20">
        <f>O35/1000</f>
        <v>9.6470000000000002</v>
      </c>
      <c r="U40" s="16">
        <f>P35</f>
        <v>8.8033727859248234E-2</v>
      </c>
    </row>
    <row r="41" spans="1:48" ht="16" x14ac:dyDescent="0.2">
      <c r="A41" s="21" t="s">
        <v>53</v>
      </c>
      <c r="B41" s="22">
        <f>B38+B37+B36</f>
        <v>6679</v>
      </c>
      <c r="C41" s="22">
        <f t="shared" ref="C41:O41" si="0">C38+C37+C36</f>
        <v>69</v>
      </c>
      <c r="D41" s="22">
        <f t="shared" si="0"/>
        <v>0</v>
      </c>
      <c r="E41" s="22">
        <f t="shared" si="0"/>
        <v>0</v>
      </c>
      <c r="F41" s="22">
        <f t="shared" si="0"/>
        <v>0</v>
      </c>
      <c r="G41" s="22">
        <f t="shared" si="0"/>
        <v>8696</v>
      </c>
      <c r="H41" s="22">
        <f t="shared" si="0"/>
        <v>0</v>
      </c>
      <c r="I41" s="22">
        <f t="shared" si="0"/>
        <v>0</v>
      </c>
      <c r="J41" s="22">
        <f t="shared" si="0"/>
        <v>0</v>
      </c>
      <c r="K41" s="22">
        <f t="shared" si="0"/>
        <v>0</v>
      </c>
      <c r="L41" s="22">
        <f t="shared" si="0"/>
        <v>0</v>
      </c>
      <c r="M41" s="22">
        <f t="shared" ref="M41" si="1">M38+M37+M36</f>
        <v>0</v>
      </c>
      <c r="N41" s="22">
        <f t="shared" si="0"/>
        <v>18716</v>
      </c>
      <c r="O41" s="22">
        <f t="shared" si="0"/>
        <v>34160</v>
      </c>
      <c r="P41" s="17">
        <f>O41/O$39</f>
        <v>0.31172718396101584</v>
      </c>
      <c r="Q41" s="17" t="s">
        <v>54</v>
      </c>
      <c r="R41" s="7"/>
      <c r="S41" s="7" t="s">
        <v>55</v>
      </c>
      <c r="T41" s="20">
        <f>O33/1000</f>
        <v>10.192</v>
      </c>
      <c r="U41" s="15">
        <f>P33</f>
        <v>9.3007127017876862E-2</v>
      </c>
    </row>
    <row r="42" spans="1:48" ht="16" x14ac:dyDescent="0.2">
      <c r="A42" s="23" t="s">
        <v>56</v>
      </c>
      <c r="B42" s="22"/>
      <c r="C42" s="24">
        <f>C39+C23+C10</f>
        <v>44362</v>
      </c>
      <c r="D42" s="24">
        <f t="shared" ref="D42:L42" si="2">D39+D23+D10</f>
        <v>0</v>
      </c>
      <c r="E42" s="24">
        <f t="shared" si="2"/>
        <v>0</v>
      </c>
      <c r="F42" s="24">
        <f t="shared" si="2"/>
        <v>3469</v>
      </c>
      <c r="G42" s="24">
        <f t="shared" si="2"/>
        <v>29501.63697104677</v>
      </c>
      <c r="H42" s="24">
        <f t="shared" si="2"/>
        <v>0</v>
      </c>
      <c r="I42" s="24">
        <f t="shared" si="2"/>
        <v>0</v>
      </c>
      <c r="J42" s="24">
        <f t="shared" si="2"/>
        <v>0</v>
      </c>
      <c r="K42" s="24">
        <f t="shared" si="2"/>
        <v>0</v>
      </c>
      <c r="L42" s="24">
        <f t="shared" si="2"/>
        <v>0</v>
      </c>
      <c r="M42" s="24">
        <f t="shared" ref="M42" si="3">M39+M23+M10</f>
        <v>0</v>
      </c>
      <c r="N42" s="24">
        <f>N39+N23-B6+N45</f>
        <v>40368.632071269487</v>
      </c>
      <c r="O42" s="25">
        <f>SUM(C42:N42)</f>
        <v>117701.26904231626</v>
      </c>
      <c r="P42" s="7"/>
      <c r="Q42" s="7"/>
      <c r="R42" s="7"/>
      <c r="S42" s="7" t="s">
        <v>37</v>
      </c>
      <c r="T42" s="20">
        <f>O31/1000</f>
        <v>3.6480000000000001</v>
      </c>
      <c r="U42" s="15">
        <f>P31</f>
        <v>3.3289835102160006E-2</v>
      </c>
    </row>
    <row r="43" spans="1:48" ht="16" x14ac:dyDescent="0.2">
      <c r="A43" s="23" t="s">
        <v>57</v>
      </c>
      <c r="B43" s="22"/>
      <c r="C43" s="17">
        <f t="shared" ref="C43:N43" si="4">C42/$O42</f>
        <v>0.37690332789913134</v>
      </c>
      <c r="D43" s="17">
        <f t="shared" si="4"/>
        <v>0</v>
      </c>
      <c r="E43" s="17">
        <f t="shared" si="4"/>
        <v>0</v>
      </c>
      <c r="F43" s="17">
        <f t="shared" si="4"/>
        <v>2.9472919266085536E-2</v>
      </c>
      <c r="G43" s="17">
        <f t="shared" si="4"/>
        <v>0.25064841875613308</v>
      </c>
      <c r="H43" s="17">
        <f t="shared" si="4"/>
        <v>0</v>
      </c>
      <c r="I43" s="17">
        <f t="shared" si="4"/>
        <v>0</v>
      </c>
      <c r="J43" s="17">
        <f t="shared" si="4"/>
        <v>0</v>
      </c>
      <c r="K43" s="17">
        <f t="shared" si="4"/>
        <v>0</v>
      </c>
      <c r="L43" s="17">
        <f t="shared" si="4"/>
        <v>0</v>
      </c>
      <c r="M43" s="17">
        <f t="shared" ref="M43" si="5">M42/$O42</f>
        <v>0</v>
      </c>
      <c r="N43" s="17">
        <f t="shared" si="4"/>
        <v>0.34297533407865005</v>
      </c>
      <c r="O43" s="17">
        <f>SUM(C43:N43)</f>
        <v>1</v>
      </c>
      <c r="P43" s="7"/>
      <c r="Q43" s="7"/>
      <c r="R43" s="7"/>
      <c r="S43" s="7" t="s">
        <v>58</v>
      </c>
      <c r="T43" s="20">
        <f>O32/1000</f>
        <v>7.0650000000000004</v>
      </c>
      <c r="U43" s="16">
        <f>P32</f>
        <v>6.4471679001304946E-2</v>
      </c>
    </row>
    <row r="44" spans="1:48" x14ac:dyDescent="0.2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7"/>
      <c r="Q44" s="7"/>
      <c r="R44" s="7"/>
      <c r="S44" s="7" t="s">
        <v>59</v>
      </c>
      <c r="T44" s="20">
        <f>O34/1000</f>
        <v>44.871000000000002</v>
      </c>
      <c r="U44" s="16">
        <f>P34</f>
        <v>0.40947044705839408</v>
      </c>
    </row>
    <row r="45" spans="1:48" ht="16" x14ac:dyDescent="0.2">
      <c r="A45" s="6" t="s">
        <v>60</v>
      </c>
      <c r="B45" s="6">
        <f>B23-B39</f>
        <v>2562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26">
        <f>N39*0.08</f>
        <v>2990.2690423162585</v>
      </c>
      <c r="O45" s="25">
        <f>B45+N45</f>
        <v>5552.2690423162585</v>
      </c>
      <c r="P45" s="7"/>
      <c r="Q45" s="7"/>
      <c r="R45" s="7"/>
      <c r="S45" s="7" t="s">
        <v>61</v>
      </c>
      <c r="T45" s="20">
        <f>SUM(T39:T44)</f>
        <v>109.583</v>
      </c>
      <c r="U45" s="15">
        <f>SUM(U39:U44)</f>
        <v>0.99999999999999989</v>
      </c>
    </row>
    <row r="46" spans="1:48" ht="16" x14ac:dyDescent="0.2">
      <c r="A46" s="6"/>
      <c r="B46" s="60">
        <f>B45/B23</f>
        <v>0.15803108808290156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/>
      <c r="O46" s="6"/>
      <c r="P46" s="7"/>
      <c r="Q46" s="7"/>
      <c r="R46" s="7"/>
    </row>
    <row r="47" spans="1:48" x14ac:dyDescent="0.2">
      <c r="A47" s="4"/>
      <c r="B47" s="4"/>
      <c r="C47" s="27"/>
      <c r="D47" s="28"/>
      <c r="E47" s="27"/>
      <c r="F47" s="27"/>
      <c r="G47" s="28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4"/>
      <c r="S47" s="4"/>
      <c r="T47" s="27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4"/>
      <c r="AI47" s="4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</row>
    <row r="48" spans="1:48" x14ac:dyDescent="0.2">
      <c r="A48" s="27"/>
      <c r="B48" s="4"/>
      <c r="C48" s="27"/>
      <c r="D48" s="28"/>
      <c r="E48" s="27"/>
      <c r="F48" s="27"/>
      <c r="G48" s="28"/>
      <c r="H48" s="28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4"/>
      <c r="T48" s="27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4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</row>
    <row r="49" spans="1:48" x14ac:dyDescent="0.2">
      <c r="A49" s="5" t="s">
        <v>134</v>
      </c>
      <c r="B49" s="7"/>
      <c r="C49" s="29"/>
      <c r="D49" s="29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4"/>
      <c r="T49" s="27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4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</row>
    <row r="50" spans="1:48" x14ac:dyDescent="0.2">
      <c r="A50" s="5" t="s">
        <v>135</v>
      </c>
      <c r="B50" s="2" t="s">
        <v>136</v>
      </c>
      <c r="C50" s="6" t="s">
        <v>98</v>
      </c>
      <c r="D50" s="6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4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4"/>
      <c r="AJ50" s="28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</row>
    <row r="51" spans="1:48" x14ac:dyDescent="0.2">
      <c r="A51" s="5" t="s">
        <v>137</v>
      </c>
      <c r="B51" s="67">
        <v>1.6</v>
      </c>
      <c r="C51" s="6">
        <f>B51*1000*9.1</f>
        <v>14560</v>
      </c>
      <c r="D51" s="6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4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4"/>
      <c r="AJ51" s="28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</row>
    <row r="52" spans="1:48" ht="16" x14ac:dyDescent="0.2">
      <c r="A52" s="5" t="s">
        <v>138</v>
      </c>
      <c r="B52" s="67">
        <v>3.5</v>
      </c>
      <c r="C52" s="6">
        <f>B52*1000*9.77</f>
        <v>34195</v>
      </c>
      <c r="D52" s="32">
        <f>SUM(C51:C53)</f>
        <v>48755</v>
      </c>
      <c r="E52" s="27"/>
      <c r="F52" s="27"/>
      <c r="G52" s="27"/>
      <c r="H52" s="28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4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4"/>
      <c r="AJ52" s="28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</row>
    <row r="53" spans="1:48" x14ac:dyDescent="0.2">
      <c r="A53" s="5" t="s">
        <v>139</v>
      </c>
      <c r="B53" s="67"/>
      <c r="C53" s="6">
        <f>B53*1000*5.9</f>
        <v>0</v>
      </c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4"/>
      <c r="T53" s="27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4"/>
      <c r="AJ53" s="28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</row>
    <row r="54" spans="1:48" x14ac:dyDescent="0.2">
      <c r="A54" s="5" t="s">
        <v>140</v>
      </c>
      <c r="B54" s="67">
        <v>0.4</v>
      </c>
      <c r="C54" s="6">
        <f>B54*1000*9.95</f>
        <v>3979.9999999999995</v>
      </c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4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  <c r="AI54" s="4"/>
      <c r="AJ54" s="28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</row>
    <row r="55" spans="1:48" x14ac:dyDescent="0.2">
      <c r="A55" s="5" t="s">
        <v>141</v>
      </c>
      <c r="B55" s="67">
        <v>0.3</v>
      </c>
      <c r="C55" s="6">
        <f>B55*1000*9.95</f>
        <v>2985</v>
      </c>
      <c r="D55" s="11">
        <f>SUM(C54:C56)</f>
        <v>6965</v>
      </c>
      <c r="E55" s="27"/>
      <c r="F55" s="27"/>
      <c r="G55" s="27"/>
      <c r="H55" s="28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4"/>
      <c r="T55" s="27"/>
      <c r="U55" s="27"/>
      <c r="V55" s="27"/>
      <c r="W55" s="27"/>
      <c r="X55" s="27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4"/>
      <c r="AJ55" s="28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</row>
    <row r="56" spans="1:48" x14ac:dyDescent="0.2">
      <c r="A56" s="5" t="s">
        <v>142</v>
      </c>
      <c r="B56" s="67"/>
      <c r="C56" s="6">
        <f>B56*1000*10.6</f>
        <v>0</v>
      </c>
      <c r="E56" s="27"/>
      <c r="F56" s="27"/>
      <c r="G56" s="27"/>
      <c r="H56" s="28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4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4"/>
      <c r="AJ56" s="28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</row>
    <row r="57" spans="1:48" ht="16" x14ac:dyDescent="0.2">
      <c r="C57" s="11">
        <f>SUM(C51:C56)</f>
        <v>55720</v>
      </c>
      <c r="E57" s="29"/>
      <c r="F57" s="29"/>
      <c r="G57" s="29"/>
      <c r="H57" s="29"/>
      <c r="I57" s="29"/>
      <c r="J57" s="29"/>
      <c r="K57" s="29"/>
      <c r="L57" s="6"/>
      <c r="M57" s="6"/>
      <c r="N57" s="30"/>
      <c r="O57" s="7"/>
      <c r="P57" s="6"/>
      <c r="Q57" s="15"/>
      <c r="R57" s="7"/>
      <c r="S57" s="7"/>
      <c r="T57" s="6"/>
      <c r="U57" s="31"/>
    </row>
    <row r="58" spans="1:48" ht="16" x14ac:dyDescent="0.2">
      <c r="A58" s="7"/>
      <c r="B58" s="7"/>
      <c r="C58" s="29"/>
      <c r="D58" s="29"/>
      <c r="E58" s="29"/>
      <c r="F58" s="29"/>
      <c r="G58" s="29"/>
      <c r="H58" s="29"/>
      <c r="I58" s="29"/>
      <c r="J58" s="29"/>
      <c r="K58" s="29"/>
      <c r="L58" s="6"/>
      <c r="M58" s="6"/>
      <c r="N58" s="30"/>
      <c r="O58" s="7"/>
      <c r="P58" s="6"/>
      <c r="Q58" s="15"/>
      <c r="R58" s="7"/>
      <c r="S58" s="7"/>
      <c r="T58" s="6"/>
      <c r="U58" s="31"/>
    </row>
    <row r="59" spans="1:48" ht="16" x14ac:dyDescent="0.2">
      <c r="A59" s="7"/>
      <c r="B59" s="7"/>
      <c r="C59" s="29"/>
      <c r="D59" s="29"/>
      <c r="E59" s="29"/>
      <c r="F59" s="29"/>
      <c r="G59" s="29"/>
      <c r="H59" s="29"/>
      <c r="I59" s="29"/>
      <c r="J59" s="29"/>
      <c r="K59" s="29"/>
      <c r="L59" s="6"/>
      <c r="M59" s="6"/>
      <c r="N59" s="30"/>
      <c r="O59" s="7"/>
      <c r="P59" s="6"/>
      <c r="Q59" s="15"/>
      <c r="R59" s="7"/>
      <c r="S59" s="7"/>
      <c r="T59" s="6"/>
      <c r="U59" s="31"/>
    </row>
    <row r="60" spans="1:48" ht="16" x14ac:dyDescent="0.2">
      <c r="A60" s="23"/>
      <c r="B60" s="7"/>
      <c r="C60" s="29"/>
      <c r="D60" s="29"/>
      <c r="E60" s="29"/>
      <c r="F60" s="29"/>
      <c r="G60" s="29"/>
      <c r="H60" s="29"/>
      <c r="I60" s="29"/>
      <c r="J60" s="29"/>
      <c r="K60" s="29"/>
      <c r="L60" s="6"/>
      <c r="M60" s="6"/>
      <c r="N60" s="30"/>
      <c r="O60" s="7"/>
      <c r="P60" s="6"/>
      <c r="Q60" s="15"/>
      <c r="R60" s="7"/>
      <c r="S60" s="7"/>
      <c r="T60" s="6"/>
      <c r="U60" s="31"/>
    </row>
    <row r="61" spans="1:48" ht="16" x14ac:dyDescent="0.2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6"/>
      <c r="M61" s="6"/>
      <c r="N61" s="30"/>
      <c r="O61" s="7"/>
      <c r="P61" s="6"/>
      <c r="Q61" s="15"/>
      <c r="R61" s="7"/>
      <c r="S61" s="7"/>
      <c r="T61" s="32"/>
      <c r="U61" s="33"/>
    </row>
    <row r="62" spans="1:48" x14ac:dyDescent="0.2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6"/>
    </row>
    <row r="63" spans="1:48" x14ac:dyDescent="0.2">
      <c r="A63" s="7"/>
      <c r="B63" s="34"/>
      <c r="C63" s="34"/>
      <c r="D63" s="34"/>
      <c r="E63" s="34"/>
      <c r="F63" s="34"/>
      <c r="G63" s="34"/>
      <c r="H63" s="34"/>
      <c r="I63" s="34"/>
      <c r="J63" s="7"/>
      <c r="K63" s="7"/>
      <c r="L63" s="7"/>
      <c r="M63" s="7"/>
      <c r="N63" s="7"/>
      <c r="O63" s="7"/>
      <c r="P63" s="7"/>
      <c r="Q63" s="7"/>
      <c r="R63" s="7"/>
      <c r="S63" s="7"/>
      <c r="T63" s="34"/>
      <c r="U63" s="35"/>
    </row>
    <row r="64" spans="1:48" ht="16" x14ac:dyDescent="0.2">
      <c r="A64" s="7"/>
      <c r="B64" s="6"/>
      <c r="C64" s="6"/>
      <c r="D64" s="6"/>
      <c r="E64" s="6"/>
      <c r="F64" s="6"/>
      <c r="G64" s="6"/>
      <c r="H64" s="6"/>
      <c r="I64" s="6"/>
      <c r="J64" s="7"/>
      <c r="K64" s="7"/>
      <c r="L64" s="7"/>
      <c r="M64" s="7"/>
      <c r="N64" s="7"/>
      <c r="O64" s="7"/>
      <c r="P64" s="6"/>
      <c r="Q64" s="30"/>
      <c r="R64" s="7"/>
      <c r="S64" s="7"/>
      <c r="T64" s="6"/>
      <c r="U64" s="31"/>
    </row>
    <row r="65" spans="1:21" ht="16" x14ac:dyDescent="0.2">
      <c r="A65" s="7"/>
      <c r="B65" s="6"/>
      <c r="C65" s="6"/>
      <c r="D65" s="6"/>
      <c r="E65" s="6"/>
      <c r="F65" s="6"/>
      <c r="G65" s="6"/>
      <c r="H65" s="6"/>
      <c r="I65" s="6"/>
      <c r="J65" s="7"/>
      <c r="K65" s="7"/>
      <c r="L65" s="7"/>
      <c r="M65" s="7"/>
      <c r="N65" s="7"/>
      <c r="O65" s="7"/>
      <c r="P65" s="6"/>
      <c r="Q65" s="30"/>
      <c r="R65" s="7"/>
      <c r="S65" s="7"/>
      <c r="T65" s="6"/>
      <c r="U65" s="31"/>
    </row>
    <row r="66" spans="1:21" ht="16" x14ac:dyDescent="0.2">
      <c r="A66" s="7"/>
      <c r="B66" s="6"/>
      <c r="C66" s="6"/>
      <c r="D66" s="6"/>
      <c r="E66" s="6"/>
      <c r="F66" s="6"/>
      <c r="G66" s="6"/>
      <c r="H66" s="6"/>
      <c r="I66" s="6"/>
      <c r="J66" s="7"/>
      <c r="K66" s="7"/>
      <c r="L66" s="7"/>
      <c r="M66" s="7"/>
      <c r="N66" s="7"/>
      <c r="O66" s="7"/>
      <c r="P66" s="6"/>
      <c r="Q66" s="30"/>
      <c r="R66" s="7"/>
      <c r="S66" s="7"/>
      <c r="T66" s="6"/>
      <c r="U66" s="31"/>
    </row>
    <row r="67" spans="1:21" ht="16" x14ac:dyDescent="0.2">
      <c r="A67" s="7"/>
      <c r="B67" s="6"/>
      <c r="C67" s="6"/>
      <c r="D67" s="6"/>
      <c r="E67" s="6"/>
      <c r="F67" s="6"/>
      <c r="G67" s="6"/>
      <c r="H67" s="6"/>
      <c r="I67" s="6"/>
      <c r="J67" s="7"/>
      <c r="K67" s="7"/>
      <c r="L67" s="7"/>
      <c r="M67" s="7"/>
      <c r="N67" s="7"/>
      <c r="O67" s="7"/>
      <c r="P67" s="6"/>
      <c r="Q67" s="30"/>
      <c r="R67" s="7"/>
      <c r="S67" s="7"/>
      <c r="T67" s="6"/>
      <c r="U67" s="31"/>
    </row>
    <row r="68" spans="1:21" ht="16" x14ac:dyDescent="0.2">
      <c r="A68" s="7"/>
      <c r="B68" s="6"/>
      <c r="C68" s="6"/>
      <c r="D68" s="6"/>
      <c r="E68" s="6"/>
      <c r="F68" s="6"/>
      <c r="G68" s="6"/>
      <c r="H68" s="6"/>
      <c r="I68" s="6"/>
      <c r="J68" s="7"/>
      <c r="K68" s="7"/>
      <c r="L68" s="7"/>
      <c r="M68" s="7"/>
      <c r="N68" s="7"/>
      <c r="O68" s="7"/>
      <c r="P68" s="6"/>
      <c r="Q68" s="30"/>
      <c r="R68" s="7"/>
      <c r="S68" s="7"/>
      <c r="T68" s="6"/>
      <c r="U68" s="31"/>
    </row>
    <row r="69" spans="1:21" ht="16" x14ac:dyDescent="0.2">
      <c r="A69" s="7"/>
      <c r="B69" s="6"/>
      <c r="C69" s="6"/>
      <c r="D69" s="6"/>
      <c r="E69" s="6"/>
      <c r="F69" s="6"/>
      <c r="G69" s="6"/>
      <c r="H69" s="6"/>
      <c r="I69" s="6"/>
      <c r="J69" s="7"/>
      <c r="K69" s="7"/>
      <c r="L69" s="7"/>
      <c r="M69" s="7"/>
      <c r="N69" s="7"/>
      <c r="O69" s="7"/>
      <c r="P69" s="6"/>
      <c r="Q69" s="30"/>
      <c r="R69" s="7"/>
      <c r="S69" s="7"/>
      <c r="T69" s="6"/>
      <c r="U69" s="31"/>
    </row>
    <row r="70" spans="1:21" ht="16" x14ac:dyDescent="0.2">
      <c r="A70" s="7"/>
      <c r="B70" s="32"/>
      <c r="C70" s="32"/>
      <c r="D70" s="32"/>
      <c r="E70" s="32"/>
      <c r="F70" s="32"/>
      <c r="G70" s="32"/>
      <c r="H70" s="32"/>
      <c r="I70" s="32"/>
      <c r="J70" s="7"/>
      <c r="K70" s="7"/>
      <c r="L70" s="7"/>
      <c r="M70" s="7"/>
      <c r="N70" s="7"/>
      <c r="O70" s="7"/>
      <c r="P70" s="32"/>
      <c r="Q70" s="36"/>
      <c r="R70" s="7"/>
      <c r="S70" s="37"/>
      <c r="T70" s="32"/>
      <c r="U70" s="36"/>
    </row>
  </sheetData>
  <pageMargins left="0.75" right="0.75" top="0.75" bottom="0.5" header="0.5" footer="0.75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ildresurs" ma:contentTypeID="0x0101009148F5A04DDD49CBA7127AADA5FB792B00AADE34325A8B49CDA8BB4DB53328F21400B1422EAB8DF0294E85CCB7CF19F0629E" ma:contentTypeVersion="1" ma:contentTypeDescription="Ladda upp en bild." ma:contentTypeScope="" ma:versionID="89db0ba08def9c0c99553822dc9a3775">
  <xsd:schema xmlns:xsd="http://www.w3.org/2001/XMLSchema" xmlns:xs="http://www.w3.org/2001/XMLSchema" xmlns:p="http://schemas.microsoft.com/office/2006/metadata/properties" xmlns:ns1="http://schemas.microsoft.com/sharepoint/v3" xmlns:ns2="B2487248-3291-4FB7-A798-DA4F8D952CAD" xmlns:ns3="http://schemas.microsoft.com/sharepoint/v3/fields" targetNamespace="http://schemas.microsoft.com/office/2006/metadata/properties" ma:root="true" ma:fieldsID="f88401ac58d331235390f5b8f93600ac" ns1:_="" ns2:_="" ns3:_="">
    <xsd:import namespace="http://schemas.microsoft.com/sharepoint/v3"/>
    <xsd:import namespace="B2487248-3291-4FB7-A798-DA4F8D952CAD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1:FileRef" minOccurs="0"/>
                <xsd:element ref="ns1:File_x0020_Type" minOccurs="0"/>
                <xsd:element ref="ns1:HTML_x0020_File_x0020_Type" minOccurs="0"/>
                <xsd:element ref="ns1:FSObjType" minOccurs="0"/>
                <xsd:element ref="ns2:ThumbnailExists" minOccurs="0"/>
                <xsd:element ref="ns2:PreviewExists" minOccurs="0"/>
                <xsd:element ref="ns2:ImageWidth" minOccurs="0"/>
                <xsd:element ref="ns2:ImageHeight" minOccurs="0"/>
                <xsd:element ref="ns2:ImageCreateDate" minOccurs="0"/>
                <xsd:element ref="ns3:wic_System_Copyright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ileRef" ma:index="8" nillable="true" ma:displayName="URL-sökväg" ma:hidden="true" ma:list="Docs" ma:internalName="FileRef" ma:readOnly="true" ma:showField="FullUrl">
      <xsd:simpleType>
        <xsd:restriction base="dms:Lookup"/>
      </xsd:simpleType>
    </xsd:element>
    <xsd:element name="File_x0020_Type" ma:index="9" nillable="true" ma:displayName="Filtyp" ma:hidden="true" ma:internalName="File_x0020_Type" ma:readOnly="true">
      <xsd:simpleType>
        <xsd:restriction base="dms:Text"/>
      </xsd:simpleType>
    </xsd:element>
    <xsd:element name="HTML_x0020_File_x0020_Type" ma:index="10" nillable="true" ma:displayName="HTML-filtyp" ma:hidden="true" ma:internalName="HTML_x0020_File_x0020_Type" ma:readOnly="true">
      <xsd:simpleType>
        <xsd:restriction base="dms:Text"/>
      </xsd:simpleType>
    </xsd:element>
    <xsd:element name="FSObjType" ma:index="11" nillable="true" ma:displayName="Objekttyp" ma:hidden="true" ma:list="Docs" ma:internalName="FSObjType" ma:readOnly="true" ma:showField="FSType">
      <xsd:simpleType>
        <xsd:restriction base="dms:Lookup"/>
      </xsd:simpleType>
    </xsd:element>
    <xsd:element name="PublishingStartDate" ma:index="27" nillable="true" ma:displayName="Schemalagt startdatum" ma:description="" ma:hidden="true" ma:internalName="PublishingStartDate">
      <xsd:simpleType>
        <xsd:restriction base="dms:Unknown"/>
      </xsd:simpleType>
    </xsd:element>
    <xsd:element name="PublishingExpirationDate" ma:index="28" nillable="true" ma:displayName="Schemalagt slutdatum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87248-3291-4FB7-A798-DA4F8D952CAD" elementFormDefault="qualified">
    <xsd:import namespace="http://schemas.microsoft.com/office/2006/documentManagement/types"/>
    <xsd:import namespace="http://schemas.microsoft.com/office/infopath/2007/PartnerControls"/>
    <xsd:element name="ThumbnailExists" ma:index="18" nillable="true" ma:displayName="Miniatyr finns" ma:default="FALSE" ma:hidden="true" ma:internalName="ThumbnailExists" ma:readOnly="true">
      <xsd:simpleType>
        <xsd:restriction base="dms:Boolean"/>
      </xsd:simpleType>
    </xsd:element>
    <xsd:element name="PreviewExists" ma:index="19" nillable="true" ma:displayName="Förhandsgranskning finns" ma:default="FALSE" ma:hidden="true" ma:internalName="PreviewExists" ma:readOnly="true">
      <xsd:simpleType>
        <xsd:restriction base="dms:Boolean"/>
      </xsd:simpleType>
    </xsd:element>
    <xsd:element name="ImageWidth" ma:index="20" nillable="true" ma:displayName="Bredd" ma:internalName="ImageWidth" ma:readOnly="true">
      <xsd:simpleType>
        <xsd:restriction base="dms:Unknown"/>
      </xsd:simpleType>
    </xsd:element>
    <xsd:element name="ImageHeight" ma:index="22" nillable="true" ma:displayName="Höjd" ma:internalName="ImageHeight" ma:readOnly="true">
      <xsd:simpleType>
        <xsd:restriction base="dms:Unknown"/>
      </xsd:simpleType>
    </xsd:element>
    <xsd:element name="ImageCreateDate" ma:index="25" nillable="true" ma:displayName="Datum då bilden togs" ma:format="DateTime" ma:hidden="true" ma:internalName="ImageCreate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wic_System_Copyright" ma:index="26" nillable="true" ma:displayName="Copyright" ma:internalName="wic_System_Copyright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4" ma:displayName="Författare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 ma:index="23" ma:displayName="Kommentarer"/>
        <xsd:element name="keywords" minOccurs="0" maxOccurs="1" type="xsd:string" ma:index="14" ma:displayName="Nyckelord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ImageCreateDate xmlns="B2487248-3291-4FB7-A798-DA4F8D952CAD" xsi:nil="true"/>
    <wic_System_Copyright xmlns="http://schemas.microsoft.com/sharepoint/v3/fields" xsi:nil="true"/>
  </documentManagement>
</p:properties>
</file>

<file path=customXml/itemProps1.xml><?xml version="1.0" encoding="utf-8"?>
<ds:datastoreItem xmlns:ds="http://schemas.openxmlformats.org/officeDocument/2006/customXml" ds:itemID="{64E39BA7-9FE6-4C3C-BB04-B9161056FD9A}"/>
</file>

<file path=customXml/itemProps2.xml><?xml version="1.0" encoding="utf-8"?>
<ds:datastoreItem xmlns:ds="http://schemas.openxmlformats.org/officeDocument/2006/customXml" ds:itemID="{AFF630CF-5FDB-44D9-A644-CC0568AF2A40}"/>
</file>

<file path=customXml/itemProps3.xml><?xml version="1.0" encoding="utf-8"?>
<ds:datastoreItem xmlns:ds="http://schemas.openxmlformats.org/officeDocument/2006/customXml" ds:itemID="{3A1C384F-DADE-4092-B031-7AA9030107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16</vt:i4>
      </vt:variant>
    </vt:vector>
  </HeadingPairs>
  <TitlesOfParts>
    <vt:vector size="16" baseType="lpstr">
      <vt:lpstr>Västerbotten</vt:lpstr>
      <vt:lpstr>Nordmaling</vt:lpstr>
      <vt:lpstr>Bjurholm</vt:lpstr>
      <vt:lpstr>Vindeln</vt:lpstr>
      <vt:lpstr>Robertsfors</vt:lpstr>
      <vt:lpstr>Norsjö</vt:lpstr>
      <vt:lpstr>Malå</vt:lpstr>
      <vt:lpstr>Storuman</vt:lpstr>
      <vt:lpstr>Sorsele</vt:lpstr>
      <vt:lpstr>Dorotea</vt:lpstr>
      <vt:lpstr>Vännäs</vt:lpstr>
      <vt:lpstr>Vilhelmina</vt:lpstr>
      <vt:lpstr>Åsele</vt:lpstr>
      <vt:lpstr>Umeå</vt:lpstr>
      <vt:lpstr>Lycksele</vt:lpstr>
      <vt:lpstr>Skellefteå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Kaj</dc:creator>
  <cp:keywords/>
  <dc:description/>
  <cp:lastModifiedBy>Kaj</cp:lastModifiedBy>
  <dcterms:created xsi:type="dcterms:W3CDTF">2016-02-06T14:03:54Z</dcterms:created>
  <dcterms:modified xsi:type="dcterms:W3CDTF">2017-08-27T19:29:42Z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0x0101009148F5A04DDD49CBA7127AADA5FB792B00AADE34325A8B49CDA8BB4DB53328F21400B1422EAB8DF0294E85CCB7CF19F0629E</vt:lpwstr>
  </property>
</Properties>
</file>