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8.xml" ContentType="application/vnd.openxmlformats-officedocument.spreadsheetml.comments+xml"/>
  <Override PartName="/xl/comments10.xml" ContentType="application/vnd.openxmlformats-officedocument.spreadsheetml.comments+xml"/>
  <Override PartName="/xl/comments2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0" yWindow="460" windowWidth="28800" windowHeight="17460" tabRatio="698"/>
  </bookViews>
  <sheets>
    <sheet name="Västmanland" sheetId="19" r:id="rId1"/>
    <sheet name="Skinnskatteberg" sheetId="11" r:id="rId2"/>
    <sheet name="Surahammar" sheetId="3" r:id="rId3"/>
    <sheet name="Kungsör" sheetId="12" r:id="rId4"/>
    <sheet name="Hallstahammar" sheetId="13" r:id="rId5"/>
    <sheet name="Norberg" sheetId="14" r:id="rId6"/>
    <sheet name="Västerås" sheetId="7" r:id="rId7"/>
    <sheet name="Sala" sheetId="15" r:id="rId8"/>
    <sheet name="Fagersta" sheetId="9" r:id="rId9"/>
    <sheet name="Köping" sheetId="10" r:id="rId10"/>
    <sheet name="Arboga" sheetId="16" r:id="rId1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9" l="1"/>
  <c r="O33" i="19"/>
  <c r="O34" i="19"/>
  <c r="O35" i="19"/>
  <c r="O36" i="19"/>
  <c r="O37" i="19"/>
  <c r="O38" i="19"/>
  <c r="O31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B39" i="19"/>
  <c r="O18" i="19"/>
  <c r="O17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B23" i="19"/>
  <c r="B10" i="19"/>
  <c r="G42" i="19"/>
  <c r="T25" i="19"/>
  <c r="L42" i="19"/>
  <c r="T31" i="19"/>
  <c r="N45" i="19"/>
  <c r="N42" i="19"/>
  <c r="C42" i="19"/>
  <c r="D42" i="19"/>
  <c r="E42" i="19"/>
  <c r="F42" i="19"/>
  <c r="H42" i="19"/>
  <c r="I42" i="19"/>
  <c r="J42" i="19"/>
  <c r="K42" i="19"/>
  <c r="M42" i="19"/>
  <c r="O42" i="19"/>
  <c r="N43" i="19"/>
  <c r="U24" i="19"/>
  <c r="G43" i="19"/>
  <c r="U25" i="19"/>
  <c r="J43" i="19"/>
  <c r="U26" i="19"/>
  <c r="F43" i="19"/>
  <c r="U27" i="19"/>
  <c r="E43" i="19"/>
  <c r="U28" i="19"/>
  <c r="D43" i="19"/>
  <c r="U29" i="19"/>
  <c r="K43" i="19"/>
  <c r="U30" i="19"/>
  <c r="L43" i="19"/>
  <c r="U31" i="19"/>
  <c r="H43" i="19"/>
  <c r="U32" i="19"/>
  <c r="C43" i="19"/>
  <c r="U33" i="19"/>
  <c r="U34" i="19"/>
  <c r="T24" i="19"/>
  <c r="T26" i="19"/>
  <c r="T27" i="19"/>
  <c r="T28" i="19"/>
  <c r="T29" i="19"/>
  <c r="T30" i="19"/>
  <c r="T32" i="19"/>
  <c r="T33" i="19"/>
  <c r="T34" i="19"/>
  <c r="S31" i="19"/>
  <c r="G18" i="11"/>
  <c r="O18" i="11"/>
  <c r="O18" i="15"/>
  <c r="N18" i="9"/>
  <c r="O18" i="9"/>
  <c r="O18" i="16"/>
  <c r="O23" i="11"/>
  <c r="O17" i="14"/>
  <c r="O19" i="14"/>
  <c r="O23" i="14"/>
  <c r="C17" i="7"/>
  <c r="O17" i="7"/>
  <c r="O23" i="7"/>
  <c r="O17" i="15"/>
  <c r="O23" i="15"/>
  <c r="O23" i="9"/>
  <c r="O23" i="16"/>
  <c r="C17" i="19"/>
  <c r="D17" i="19"/>
  <c r="E17" i="19"/>
  <c r="F17" i="19"/>
  <c r="G17" i="19"/>
  <c r="H17" i="19"/>
  <c r="C18" i="19"/>
  <c r="D18" i="19"/>
  <c r="E18" i="19"/>
  <c r="F18" i="19"/>
  <c r="G18" i="19"/>
  <c r="H18" i="19"/>
  <c r="C23" i="14"/>
  <c r="C23" i="7"/>
  <c r="C23" i="9"/>
  <c r="C23" i="16"/>
  <c r="D23" i="7"/>
  <c r="D23" i="9"/>
  <c r="F23" i="7"/>
  <c r="F23" i="15"/>
  <c r="F23" i="9"/>
  <c r="F23" i="16"/>
  <c r="G23" i="11"/>
  <c r="G23" i="14"/>
  <c r="G23" i="7"/>
  <c r="G23" i="15"/>
  <c r="G23" i="9"/>
  <c r="G23" i="16"/>
  <c r="H23" i="15"/>
  <c r="B18" i="3"/>
  <c r="B18" i="12"/>
  <c r="B18" i="9"/>
  <c r="B18" i="19"/>
  <c r="B19" i="19"/>
  <c r="B20" i="19"/>
  <c r="B21" i="19"/>
  <c r="B22" i="19"/>
  <c r="B23" i="11"/>
  <c r="B17" i="14"/>
  <c r="B23" i="14"/>
  <c r="B23" i="7"/>
  <c r="B23" i="15"/>
  <c r="B23" i="9"/>
  <c r="B23" i="16"/>
  <c r="B32" i="14"/>
  <c r="O37" i="15"/>
  <c r="O33" i="15"/>
  <c r="O31" i="15"/>
  <c r="O38" i="15"/>
  <c r="N38" i="15"/>
  <c r="N36" i="15"/>
  <c r="N32" i="15"/>
  <c r="B32" i="15"/>
  <c r="B32" i="10"/>
  <c r="B32" i="19"/>
  <c r="C32" i="11"/>
  <c r="C32" i="3"/>
  <c r="C32" i="13"/>
  <c r="N32" i="10"/>
  <c r="C32" i="10"/>
  <c r="C32" i="19"/>
  <c r="D32" i="19"/>
  <c r="O38" i="16"/>
  <c r="O32" i="16"/>
  <c r="E32" i="16"/>
  <c r="E32" i="19"/>
  <c r="F32" i="19"/>
  <c r="N39" i="14"/>
  <c r="G39" i="14"/>
  <c r="G32" i="14"/>
  <c r="G32" i="19"/>
  <c r="H32" i="19"/>
  <c r="I32" i="19"/>
  <c r="J32" i="19"/>
  <c r="K32" i="19"/>
  <c r="L32" i="19"/>
  <c r="M32" i="19"/>
  <c r="N32" i="7"/>
  <c r="O37" i="9"/>
  <c r="C34" i="9"/>
  <c r="C35" i="9"/>
  <c r="B35" i="9"/>
  <c r="B33" i="9"/>
  <c r="O33" i="9"/>
  <c r="O31" i="9"/>
  <c r="O38" i="9"/>
  <c r="N38" i="9"/>
  <c r="N36" i="9"/>
  <c r="N32" i="9"/>
  <c r="N32" i="19"/>
  <c r="O32" i="11"/>
  <c r="O32" i="14"/>
  <c r="O32" i="7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4"/>
  <c r="B34" i="19"/>
  <c r="C34" i="15"/>
  <c r="C34" i="19"/>
  <c r="D34" i="19"/>
  <c r="E34" i="19"/>
  <c r="F34" i="19"/>
  <c r="G34" i="19"/>
  <c r="H34" i="19"/>
  <c r="I34" i="19"/>
  <c r="J34" i="19"/>
  <c r="K34" i="19"/>
  <c r="L34" i="19"/>
  <c r="M34" i="19"/>
  <c r="N34" i="19"/>
  <c r="B35" i="11"/>
  <c r="B35" i="19"/>
  <c r="C36" i="14"/>
  <c r="C35" i="14"/>
  <c r="C35" i="15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1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1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1"/>
  <c r="O37" i="14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7"/>
  <c r="C39" i="3"/>
  <c r="C39" i="13"/>
  <c r="C39" i="15"/>
  <c r="C39" i="10"/>
  <c r="D39" i="10"/>
  <c r="E39" i="11"/>
  <c r="E39" i="3"/>
  <c r="E39" i="13"/>
  <c r="E39" i="9"/>
  <c r="E39" i="16"/>
  <c r="F39" i="13"/>
  <c r="G39" i="3"/>
  <c r="G39" i="15"/>
  <c r="G39" i="9"/>
  <c r="G39" i="10"/>
  <c r="N39" i="11"/>
  <c r="N39" i="3"/>
  <c r="N39" i="10"/>
  <c r="N39" i="16"/>
  <c r="O39" i="11"/>
  <c r="C31" i="19"/>
  <c r="D31" i="19"/>
  <c r="E31" i="19"/>
  <c r="F31" i="19"/>
  <c r="G31" i="19"/>
  <c r="H31" i="19"/>
  <c r="I31" i="19"/>
  <c r="J31" i="19"/>
  <c r="K31" i="19"/>
  <c r="L31" i="19"/>
  <c r="M31" i="19"/>
  <c r="N31" i="19"/>
  <c r="B31" i="19"/>
  <c r="B17" i="19"/>
  <c r="B7" i="19"/>
  <c r="B8" i="19"/>
  <c r="B9" i="19"/>
  <c r="B4" i="11"/>
  <c r="B10" i="11"/>
  <c r="B4" i="3"/>
  <c r="B10" i="3"/>
  <c r="B4" i="12"/>
  <c r="B10" i="12"/>
  <c r="B4" i="13"/>
  <c r="B10" i="13"/>
  <c r="B4" i="14"/>
  <c r="B10" i="14"/>
  <c r="B4" i="7"/>
  <c r="B10" i="7"/>
  <c r="B4" i="15"/>
  <c r="B10" i="15"/>
  <c r="B4" i="9"/>
  <c r="B10" i="9"/>
  <c r="B4" i="10"/>
  <c r="B10" i="10"/>
  <c r="B4" i="16"/>
  <c r="B10" i="16"/>
  <c r="B6" i="19"/>
  <c r="B4" i="19"/>
  <c r="I18" i="19"/>
  <c r="J18" i="19"/>
  <c r="K18" i="19"/>
  <c r="L18" i="19"/>
  <c r="M18" i="19"/>
  <c r="N18" i="19"/>
  <c r="N23" i="15"/>
  <c r="J23" i="7"/>
  <c r="J23" i="9"/>
  <c r="K23" i="7"/>
  <c r="L23" i="7"/>
  <c r="N23" i="14"/>
  <c r="N23" i="9"/>
  <c r="N23" i="16"/>
  <c r="N23" i="7"/>
  <c r="B45" i="16"/>
  <c r="N45" i="9"/>
  <c r="N42" i="9"/>
  <c r="T24" i="9"/>
  <c r="D42" i="9"/>
  <c r="T29" i="9"/>
  <c r="B45" i="9"/>
  <c r="B45" i="14"/>
  <c r="P31" i="9"/>
  <c r="U42" i="9"/>
  <c r="T41" i="15"/>
  <c r="F42" i="7"/>
  <c r="N45" i="3"/>
  <c r="S32" i="3"/>
  <c r="S32" i="12"/>
  <c r="S32" i="13"/>
  <c r="S32" i="14"/>
  <c r="S32" i="7"/>
  <c r="S32" i="15"/>
  <c r="S32" i="9"/>
  <c r="S32" i="10"/>
  <c r="S32" i="16"/>
  <c r="S32" i="11"/>
  <c r="S31" i="3"/>
  <c r="S31" i="12"/>
  <c r="S31" i="13"/>
  <c r="S31" i="14"/>
  <c r="S31" i="7"/>
  <c r="S31" i="15"/>
  <c r="S31" i="9"/>
  <c r="S31" i="10"/>
  <c r="S31" i="16"/>
  <c r="S31" i="11"/>
  <c r="S30" i="3"/>
  <c r="S30" i="12"/>
  <c r="S30" i="13"/>
  <c r="S30" i="14"/>
  <c r="S30" i="7"/>
  <c r="S30" i="15"/>
  <c r="S30" i="9"/>
  <c r="S30" i="10"/>
  <c r="S30" i="16"/>
  <c r="S30" i="11"/>
  <c r="S29" i="3"/>
  <c r="S29" i="12"/>
  <c r="S29" i="13"/>
  <c r="S29" i="14"/>
  <c r="S29" i="7"/>
  <c r="S29" i="15"/>
  <c r="S29" i="9"/>
  <c r="S29" i="10"/>
  <c r="S29" i="16"/>
  <c r="S29" i="11"/>
  <c r="S26" i="3"/>
  <c r="S26" i="12"/>
  <c r="S26" i="13"/>
  <c r="S26" i="14"/>
  <c r="S26" i="7"/>
  <c r="S26" i="15"/>
  <c r="S26" i="9"/>
  <c r="S26" i="10"/>
  <c r="S26" i="16"/>
  <c r="S26" i="11"/>
  <c r="E41" i="19"/>
  <c r="F41" i="19"/>
  <c r="I41" i="19"/>
  <c r="M41" i="19"/>
  <c r="I17" i="19"/>
  <c r="J17" i="19"/>
  <c r="K17" i="19"/>
  <c r="L17" i="19"/>
  <c r="M17" i="19"/>
  <c r="N17" i="19"/>
  <c r="T44" i="19"/>
  <c r="B45" i="13"/>
  <c r="B45" i="3"/>
  <c r="B45" i="12"/>
  <c r="B45" i="10"/>
  <c r="B45" i="11"/>
  <c r="C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N45" i="12"/>
  <c r="O45" i="12"/>
  <c r="T38" i="12"/>
  <c r="C42" i="12"/>
  <c r="D42" i="12"/>
  <c r="E42" i="12"/>
  <c r="F42" i="12"/>
  <c r="G42" i="12"/>
  <c r="H42" i="12"/>
  <c r="I42" i="12"/>
  <c r="J42" i="12"/>
  <c r="K42" i="12"/>
  <c r="L42" i="12"/>
  <c r="M42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N45" i="13"/>
  <c r="C42" i="13"/>
  <c r="M42" i="13"/>
  <c r="L42" i="13"/>
  <c r="K42" i="13"/>
  <c r="J42" i="13"/>
  <c r="I42" i="13"/>
  <c r="H42" i="13"/>
  <c r="G42" i="13"/>
  <c r="F42" i="13"/>
  <c r="T27" i="13"/>
  <c r="E42" i="13"/>
  <c r="D42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C42" i="14"/>
  <c r="D42" i="14"/>
  <c r="E42" i="14"/>
  <c r="F42" i="14"/>
  <c r="H42" i="14"/>
  <c r="I42" i="14"/>
  <c r="T31" i="14"/>
  <c r="J42" i="14"/>
  <c r="K42" i="14"/>
  <c r="L42" i="14"/>
  <c r="M42" i="14"/>
  <c r="N41" i="14"/>
  <c r="M41" i="14"/>
  <c r="L41" i="14"/>
  <c r="K41" i="14"/>
  <c r="J41" i="14"/>
  <c r="I41" i="14"/>
  <c r="H41" i="14"/>
  <c r="G41" i="14"/>
  <c r="F41" i="14"/>
  <c r="E41" i="14"/>
  <c r="D41" i="14"/>
  <c r="B41" i="14"/>
  <c r="N45" i="7"/>
  <c r="C42" i="7"/>
  <c r="D42" i="7"/>
  <c r="J42" i="7"/>
  <c r="K42" i="7"/>
  <c r="L42" i="7"/>
  <c r="M42" i="7"/>
  <c r="N42" i="7"/>
  <c r="E42" i="7"/>
  <c r="G42" i="7"/>
  <c r="H42" i="7"/>
  <c r="I42" i="7"/>
  <c r="O42" i="7"/>
  <c r="M43" i="7"/>
  <c r="K43" i="7"/>
  <c r="I43" i="7"/>
  <c r="U31" i="7"/>
  <c r="G43" i="7"/>
  <c r="U25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N45" i="15"/>
  <c r="N42" i="15"/>
  <c r="M42" i="15"/>
  <c r="L42" i="15"/>
  <c r="K42" i="15"/>
  <c r="J42" i="15"/>
  <c r="I42" i="15"/>
  <c r="H42" i="15"/>
  <c r="F42" i="15"/>
  <c r="E42" i="15"/>
  <c r="D42" i="15"/>
  <c r="M41" i="15"/>
  <c r="L41" i="15"/>
  <c r="K41" i="15"/>
  <c r="J41" i="15"/>
  <c r="I41" i="15"/>
  <c r="H41" i="15"/>
  <c r="F41" i="15"/>
  <c r="E41" i="15"/>
  <c r="D41" i="15"/>
  <c r="C41" i="15"/>
  <c r="C42" i="9"/>
  <c r="M42" i="9"/>
  <c r="L42" i="9"/>
  <c r="K42" i="9"/>
  <c r="J42" i="9"/>
  <c r="I42" i="9"/>
  <c r="H42" i="9"/>
  <c r="G42" i="9"/>
  <c r="T25" i="9"/>
  <c r="F42" i="9"/>
  <c r="E42" i="9"/>
  <c r="M41" i="9"/>
  <c r="L41" i="9"/>
  <c r="K41" i="9"/>
  <c r="J41" i="9"/>
  <c r="I41" i="9"/>
  <c r="H41" i="9"/>
  <c r="G41" i="9"/>
  <c r="F41" i="9"/>
  <c r="E41" i="9"/>
  <c r="D41" i="9"/>
  <c r="C41" i="9"/>
  <c r="B41" i="9"/>
  <c r="N45" i="10"/>
  <c r="O45" i="10"/>
  <c r="T38" i="10"/>
  <c r="M42" i="10"/>
  <c r="L42" i="10"/>
  <c r="K42" i="10"/>
  <c r="J42" i="10"/>
  <c r="I42" i="10"/>
  <c r="H42" i="10"/>
  <c r="G42" i="10"/>
  <c r="T25" i="10"/>
  <c r="F42" i="10"/>
  <c r="E42" i="10"/>
  <c r="D42" i="10"/>
  <c r="T29" i="10"/>
  <c r="O41" i="10"/>
  <c r="P41" i="10"/>
  <c r="U39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N45" i="16"/>
  <c r="N42" i="16"/>
  <c r="C42" i="16"/>
  <c r="D42" i="16"/>
  <c r="F42" i="16"/>
  <c r="G42" i="16"/>
  <c r="H42" i="16"/>
  <c r="I42" i="16"/>
  <c r="J42" i="16"/>
  <c r="K42" i="16"/>
  <c r="L42" i="16"/>
  <c r="M42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C42" i="11"/>
  <c r="D42" i="11"/>
  <c r="E42" i="11"/>
  <c r="T28" i="11"/>
  <c r="M42" i="11"/>
  <c r="L42" i="11"/>
  <c r="K42" i="11"/>
  <c r="J42" i="11"/>
  <c r="I42" i="11"/>
  <c r="H42" i="11"/>
  <c r="G42" i="11"/>
  <c r="F42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P41" i="3"/>
  <c r="U39" i="3"/>
  <c r="P35" i="3"/>
  <c r="U40" i="3"/>
  <c r="P33" i="3"/>
  <c r="U41" i="3"/>
  <c r="P31" i="3"/>
  <c r="U42" i="3"/>
  <c r="P32" i="3"/>
  <c r="P34" i="3"/>
  <c r="U44" i="3"/>
  <c r="T39" i="3"/>
  <c r="T40" i="3"/>
  <c r="T41" i="3"/>
  <c r="T42" i="3"/>
  <c r="T43" i="3"/>
  <c r="T44" i="3"/>
  <c r="T45" i="3"/>
  <c r="T25" i="3"/>
  <c r="T26" i="3"/>
  <c r="T27" i="3"/>
  <c r="T32" i="3"/>
  <c r="T31" i="3"/>
  <c r="T30" i="3"/>
  <c r="T29" i="3"/>
  <c r="P41" i="12"/>
  <c r="U39" i="12"/>
  <c r="P35" i="12"/>
  <c r="U40" i="12"/>
  <c r="P33" i="12"/>
  <c r="U41" i="12"/>
  <c r="P31" i="12"/>
  <c r="U42" i="12"/>
  <c r="P32" i="12"/>
  <c r="U43" i="12"/>
  <c r="P34" i="12"/>
  <c r="U44" i="12"/>
  <c r="U45" i="12"/>
  <c r="T39" i="12"/>
  <c r="T40" i="12"/>
  <c r="T41" i="12"/>
  <c r="T42" i="12"/>
  <c r="T43" i="12"/>
  <c r="T44" i="12"/>
  <c r="T45" i="12"/>
  <c r="T25" i="12"/>
  <c r="T26" i="12"/>
  <c r="T27" i="12"/>
  <c r="T28" i="12"/>
  <c r="T29" i="12"/>
  <c r="T30" i="12"/>
  <c r="T31" i="12"/>
  <c r="T32" i="12"/>
  <c r="T33" i="12"/>
  <c r="P41" i="13"/>
  <c r="U39" i="13"/>
  <c r="P35" i="13"/>
  <c r="U40" i="13"/>
  <c r="P33" i="13"/>
  <c r="U41" i="13"/>
  <c r="P31" i="13"/>
  <c r="U42" i="13"/>
  <c r="P32" i="13"/>
  <c r="U43" i="13"/>
  <c r="P34" i="13"/>
  <c r="U44" i="13"/>
  <c r="T39" i="13"/>
  <c r="T40" i="13"/>
  <c r="T41" i="13"/>
  <c r="T42" i="13"/>
  <c r="T43" i="13"/>
  <c r="T44" i="13"/>
  <c r="T45" i="13"/>
  <c r="T25" i="13"/>
  <c r="T26" i="13"/>
  <c r="T32" i="13"/>
  <c r="T31" i="13"/>
  <c r="T30" i="13"/>
  <c r="T29" i="13"/>
  <c r="T28" i="13"/>
  <c r="P35" i="14"/>
  <c r="U40" i="14"/>
  <c r="P33" i="14"/>
  <c r="U41" i="14"/>
  <c r="P31" i="14"/>
  <c r="U42" i="14"/>
  <c r="P34" i="14"/>
  <c r="U44" i="14"/>
  <c r="T40" i="14"/>
  <c r="T41" i="14"/>
  <c r="T42" i="14"/>
  <c r="T44" i="14"/>
  <c r="T26" i="14"/>
  <c r="T27" i="14"/>
  <c r="T28" i="14"/>
  <c r="T29" i="14"/>
  <c r="T30" i="14"/>
  <c r="T32" i="14"/>
  <c r="T33" i="14"/>
  <c r="P41" i="7"/>
  <c r="U39" i="7"/>
  <c r="P35" i="7"/>
  <c r="U40" i="7"/>
  <c r="P33" i="7"/>
  <c r="U41" i="7"/>
  <c r="P31" i="7"/>
  <c r="U42" i="7"/>
  <c r="P32" i="7"/>
  <c r="U43" i="7"/>
  <c r="P34" i="7"/>
  <c r="U44" i="7"/>
  <c r="U45" i="7"/>
  <c r="T39" i="7"/>
  <c r="T40" i="7"/>
  <c r="T41" i="7"/>
  <c r="T42" i="7"/>
  <c r="T43" i="7"/>
  <c r="T44" i="7"/>
  <c r="T24" i="7"/>
  <c r="T25" i="7"/>
  <c r="T27" i="7"/>
  <c r="T29" i="7"/>
  <c r="T26" i="7"/>
  <c r="T30" i="7"/>
  <c r="T28" i="7"/>
  <c r="T31" i="7"/>
  <c r="T32" i="7"/>
  <c r="T34" i="7"/>
  <c r="T33" i="7"/>
  <c r="U30" i="7"/>
  <c r="T21" i="7"/>
  <c r="P34" i="15"/>
  <c r="U44" i="15"/>
  <c r="T44" i="15"/>
  <c r="P31" i="15"/>
  <c r="T32" i="15"/>
  <c r="T31" i="15"/>
  <c r="T30" i="15"/>
  <c r="T29" i="15"/>
  <c r="T28" i="15"/>
  <c r="T27" i="15"/>
  <c r="T26" i="15"/>
  <c r="P34" i="9"/>
  <c r="U44" i="9"/>
  <c r="T44" i="9"/>
  <c r="P32" i="9"/>
  <c r="U43" i="9"/>
  <c r="T43" i="9"/>
  <c r="P35" i="9"/>
  <c r="U40" i="9"/>
  <c r="T40" i="9"/>
  <c r="T32" i="9"/>
  <c r="T31" i="9"/>
  <c r="T30" i="9"/>
  <c r="T28" i="9"/>
  <c r="T27" i="9"/>
  <c r="T26" i="9"/>
  <c r="P35" i="10"/>
  <c r="U40" i="10"/>
  <c r="P33" i="10"/>
  <c r="U41" i="10"/>
  <c r="P31" i="10"/>
  <c r="U42" i="10"/>
  <c r="P32" i="10"/>
  <c r="U43" i="10"/>
  <c r="P34" i="10"/>
  <c r="U44" i="10"/>
  <c r="T40" i="10"/>
  <c r="T41" i="10"/>
  <c r="T42" i="10"/>
  <c r="T43" i="10"/>
  <c r="T44" i="10"/>
  <c r="P38" i="10"/>
  <c r="T32" i="10"/>
  <c r="T31" i="10"/>
  <c r="T30" i="10"/>
  <c r="T28" i="10"/>
  <c r="T27" i="10"/>
  <c r="T26" i="10"/>
  <c r="P41" i="16"/>
  <c r="U39" i="16"/>
  <c r="P32" i="16"/>
  <c r="U43" i="16"/>
  <c r="P35" i="16"/>
  <c r="U40" i="16"/>
  <c r="P33" i="16"/>
  <c r="U41" i="16"/>
  <c r="P31" i="16"/>
  <c r="P34" i="16"/>
  <c r="U44" i="16"/>
  <c r="T39" i="16"/>
  <c r="T43" i="16"/>
  <c r="T40" i="16"/>
  <c r="T41" i="16"/>
  <c r="T42" i="16"/>
  <c r="T44" i="16"/>
  <c r="T45" i="16"/>
  <c r="T24" i="16"/>
  <c r="T25" i="16"/>
  <c r="T26" i="16"/>
  <c r="T27" i="16"/>
  <c r="T29" i="16"/>
  <c r="T30" i="16"/>
  <c r="T31" i="16"/>
  <c r="T32" i="16"/>
  <c r="T33" i="16"/>
  <c r="P41" i="11"/>
  <c r="U39" i="11"/>
  <c r="T39" i="11"/>
  <c r="P34" i="11"/>
  <c r="U44" i="11"/>
  <c r="T44" i="11"/>
  <c r="P32" i="11"/>
  <c r="U43" i="11"/>
  <c r="T43" i="11"/>
  <c r="P31" i="11"/>
  <c r="U42" i="11"/>
  <c r="T42" i="11"/>
  <c r="P33" i="11"/>
  <c r="U41" i="11"/>
  <c r="T41" i="11"/>
  <c r="T26" i="11"/>
  <c r="T27" i="11"/>
  <c r="T33" i="11"/>
  <c r="T32" i="11"/>
  <c r="T31" i="11"/>
  <c r="T30" i="11"/>
  <c r="T29" i="11"/>
  <c r="N42" i="13"/>
  <c r="O42" i="13"/>
  <c r="J43" i="13"/>
  <c r="U26" i="13"/>
  <c r="T33" i="13"/>
  <c r="E43" i="13"/>
  <c r="U28" i="13"/>
  <c r="T39" i="10"/>
  <c r="N42" i="10"/>
  <c r="T24" i="10"/>
  <c r="T34" i="10"/>
  <c r="N45" i="14"/>
  <c r="N42" i="14"/>
  <c r="T34" i="9"/>
  <c r="T42" i="9"/>
  <c r="P31" i="19"/>
  <c r="T42" i="15"/>
  <c r="P33" i="15"/>
  <c r="U41" i="15"/>
  <c r="U42" i="15"/>
  <c r="P34" i="19"/>
  <c r="U44" i="19"/>
  <c r="T33" i="3"/>
  <c r="J41" i="19"/>
  <c r="D41" i="19"/>
  <c r="K41" i="19"/>
  <c r="L41" i="19"/>
  <c r="H41" i="19"/>
  <c r="U45" i="10"/>
  <c r="T45" i="10"/>
  <c r="U42" i="16"/>
  <c r="U45" i="16"/>
  <c r="P38" i="16"/>
  <c r="O42" i="9"/>
  <c r="H43" i="9"/>
  <c r="U32" i="9"/>
  <c r="O45" i="14"/>
  <c r="T38" i="14"/>
  <c r="T45" i="7"/>
  <c r="O45" i="9"/>
  <c r="T38" i="9"/>
  <c r="O45" i="16"/>
  <c r="T38" i="16"/>
  <c r="U45" i="13"/>
  <c r="U43" i="3"/>
  <c r="U45" i="3"/>
  <c r="P38" i="3"/>
  <c r="T25" i="11"/>
  <c r="P38" i="7"/>
  <c r="P38" i="13"/>
  <c r="P38" i="12"/>
  <c r="N45" i="11"/>
  <c r="O45" i="11"/>
  <c r="T38" i="11"/>
  <c r="T24" i="14"/>
  <c r="T33" i="9"/>
  <c r="T24" i="15"/>
  <c r="G42" i="15"/>
  <c r="T25" i="15"/>
  <c r="T34" i="15"/>
  <c r="T28" i="3"/>
  <c r="C43" i="7"/>
  <c r="F43" i="7"/>
  <c r="U27" i="7"/>
  <c r="E43" i="7"/>
  <c r="U28" i="7"/>
  <c r="N43" i="7"/>
  <c r="U24" i="7"/>
  <c r="J43" i="7"/>
  <c r="U26" i="7"/>
  <c r="D43" i="7"/>
  <c r="U29" i="7"/>
  <c r="H43" i="7"/>
  <c r="U32" i="7"/>
  <c r="U34" i="7"/>
  <c r="L43" i="7"/>
  <c r="G42" i="14"/>
  <c r="O42" i="14"/>
  <c r="B41" i="15"/>
  <c r="D43" i="13"/>
  <c r="U29" i="13"/>
  <c r="O45" i="13"/>
  <c r="T38" i="13"/>
  <c r="O45" i="3"/>
  <c r="T38" i="3"/>
  <c r="N42" i="3"/>
  <c r="O42" i="3"/>
  <c r="B45" i="15"/>
  <c r="N42" i="12"/>
  <c r="L43" i="13"/>
  <c r="F43" i="13"/>
  <c r="U27" i="13"/>
  <c r="H43" i="13"/>
  <c r="U32" i="13"/>
  <c r="I43" i="13"/>
  <c r="U31" i="13"/>
  <c r="T21" i="13"/>
  <c r="C43" i="13"/>
  <c r="M43" i="13"/>
  <c r="K43" i="13"/>
  <c r="U30" i="13"/>
  <c r="G43" i="13"/>
  <c r="U25" i="13"/>
  <c r="C42" i="10"/>
  <c r="C43" i="3"/>
  <c r="U33" i="3"/>
  <c r="H43" i="3"/>
  <c r="U32" i="3"/>
  <c r="J43" i="3"/>
  <c r="U26" i="3"/>
  <c r="I43" i="3"/>
  <c r="U31" i="3"/>
  <c r="F43" i="3"/>
  <c r="U27" i="3"/>
  <c r="E43" i="3"/>
  <c r="U28" i="3"/>
  <c r="D43" i="3"/>
  <c r="U29" i="3"/>
  <c r="J43" i="9"/>
  <c r="U26" i="9"/>
  <c r="L43" i="9"/>
  <c r="N43" i="9"/>
  <c r="U24" i="9"/>
  <c r="C43" i="9"/>
  <c r="F43" i="9"/>
  <c r="U27" i="9"/>
  <c r="K43" i="3"/>
  <c r="U30" i="3"/>
  <c r="G43" i="3"/>
  <c r="U25" i="3"/>
  <c r="T21" i="3"/>
  <c r="M43" i="3"/>
  <c r="L43" i="3"/>
  <c r="T42" i="19"/>
  <c r="H43" i="14"/>
  <c r="U32" i="14"/>
  <c r="L43" i="14"/>
  <c r="J43" i="14"/>
  <c r="U26" i="14"/>
  <c r="C43" i="14"/>
  <c r="K43" i="14"/>
  <c r="U30" i="14"/>
  <c r="E43" i="14"/>
  <c r="U28" i="14"/>
  <c r="T21" i="14"/>
  <c r="D43" i="14"/>
  <c r="U29" i="14"/>
  <c r="F43" i="14"/>
  <c r="U27" i="14"/>
  <c r="N43" i="14"/>
  <c r="U24" i="14"/>
  <c r="I43" i="14"/>
  <c r="U31" i="14"/>
  <c r="M43" i="14"/>
  <c r="P35" i="11"/>
  <c r="T40" i="11"/>
  <c r="T45" i="11"/>
  <c r="T24" i="12"/>
  <c r="T34" i="12"/>
  <c r="O42" i="12"/>
  <c r="N43" i="12"/>
  <c r="U24" i="12"/>
  <c r="B41" i="19"/>
  <c r="U42" i="19"/>
  <c r="U33" i="7"/>
  <c r="O43" i="7"/>
  <c r="N42" i="11"/>
  <c r="O42" i="11"/>
  <c r="O45" i="15"/>
  <c r="T38" i="15"/>
  <c r="N43" i="3"/>
  <c r="U24" i="3"/>
  <c r="T24" i="3"/>
  <c r="T34" i="3"/>
  <c r="G41" i="19"/>
  <c r="G41" i="15"/>
  <c r="M43" i="9"/>
  <c r="K43" i="9"/>
  <c r="U30" i="9"/>
  <c r="I43" i="9"/>
  <c r="U31" i="9"/>
  <c r="G43" i="9"/>
  <c r="U25" i="9"/>
  <c r="E43" i="9"/>
  <c r="U28" i="9"/>
  <c r="T21" i="9"/>
  <c r="D43" i="9"/>
  <c r="U29" i="9"/>
  <c r="N43" i="13"/>
  <c r="U24" i="13"/>
  <c r="U34" i="13"/>
  <c r="T24" i="13"/>
  <c r="T34" i="13"/>
  <c r="G43" i="14"/>
  <c r="U25" i="14"/>
  <c r="T25" i="14"/>
  <c r="T34" i="14"/>
  <c r="E42" i="16"/>
  <c r="J43" i="11"/>
  <c r="U26" i="11"/>
  <c r="T21" i="11"/>
  <c r="E43" i="11"/>
  <c r="U28" i="11"/>
  <c r="K43" i="11"/>
  <c r="U30" i="11"/>
  <c r="D43" i="11"/>
  <c r="U29" i="11"/>
  <c r="F43" i="11"/>
  <c r="U27" i="11"/>
  <c r="I43" i="11"/>
  <c r="U31" i="11"/>
  <c r="M43" i="11"/>
  <c r="L43" i="11"/>
  <c r="H43" i="11"/>
  <c r="U32" i="11"/>
  <c r="G43" i="11"/>
  <c r="U25" i="11"/>
  <c r="C43" i="11"/>
  <c r="U33" i="11"/>
  <c r="U40" i="11"/>
  <c r="U45" i="11"/>
  <c r="P38" i="11"/>
  <c r="O43" i="13"/>
  <c r="U33" i="13"/>
  <c r="T33" i="10"/>
  <c r="O42" i="10"/>
  <c r="U34" i="9"/>
  <c r="O43" i="9"/>
  <c r="U34" i="3"/>
  <c r="U33" i="9"/>
  <c r="O43" i="3"/>
  <c r="O43" i="14"/>
  <c r="U33" i="14"/>
  <c r="P32" i="14"/>
  <c r="T43" i="14"/>
  <c r="U34" i="14"/>
  <c r="D43" i="12"/>
  <c r="U29" i="12"/>
  <c r="H43" i="12"/>
  <c r="U32" i="12"/>
  <c r="L43" i="12"/>
  <c r="F43" i="12"/>
  <c r="U27" i="12"/>
  <c r="J43" i="12"/>
  <c r="U26" i="12"/>
  <c r="T21" i="12"/>
  <c r="E43" i="12"/>
  <c r="U28" i="12"/>
  <c r="K43" i="12"/>
  <c r="U30" i="12"/>
  <c r="I43" i="12"/>
  <c r="U31" i="12"/>
  <c r="M43" i="12"/>
  <c r="G43" i="12"/>
  <c r="U25" i="12"/>
  <c r="U34" i="12"/>
  <c r="C43" i="12"/>
  <c r="T28" i="16"/>
  <c r="T34" i="16"/>
  <c r="O42" i="16"/>
  <c r="E43" i="16"/>
  <c r="U28" i="16"/>
  <c r="T24" i="11"/>
  <c r="T34" i="11"/>
  <c r="N43" i="11"/>
  <c r="U24" i="11"/>
  <c r="U34" i="11"/>
  <c r="O43" i="11"/>
  <c r="T21" i="10"/>
  <c r="H43" i="10"/>
  <c r="U32" i="10"/>
  <c r="I43" i="10"/>
  <c r="U31" i="10"/>
  <c r="G43" i="10"/>
  <c r="U25" i="10"/>
  <c r="F43" i="10"/>
  <c r="U27" i="10"/>
  <c r="K43" i="10"/>
  <c r="U30" i="10"/>
  <c r="L43" i="10"/>
  <c r="J43" i="10"/>
  <c r="U26" i="10"/>
  <c r="E43" i="10"/>
  <c r="U28" i="10"/>
  <c r="D43" i="10"/>
  <c r="U29" i="10"/>
  <c r="N43" i="10"/>
  <c r="U24" i="10"/>
  <c r="M43" i="10"/>
  <c r="C43" i="10"/>
  <c r="F43" i="16"/>
  <c r="U27" i="16"/>
  <c r="J43" i="16"/>
  <c r="U26" i="16"/>
  <c r="K43" i="16"/>
  <c r="U30" i="16"/>
  <c r="G43" i="16"/>
  <c r="U25" i="16"/>
  <c r="C43" i="16"/>
  <c r="T21" i="16"/>
  <c r="I43" i="16"/>
  <c r="U31" i="16"/>
  <c r="D43" i="16"/>
  <c r="U29" i="16"/>
  <c r="M43" i="16"/>
  <c r="H43" i="16"/>
  <c r="U32" i="16"/>
  <c r="L43" i="16"/>
  <c r="N43" i="16"/>
  <c r="U24" i="16"/>
  <c r="U43" i="14"/>
  <c r="P38" i="14"/>
  <c r="O43" i="12"/>
  <c r="U33" i="12"/>
  <c r="U33" i="10"/>
  <c r="O43" i="10"/>
  <c r="U34" i="10"/>
  <c r="O43" i="16"/>
  <c r="U33" i="16"/>
  <c r="U34" i="16"/>
  <c r="P35" i="15"/>
  <c r="U40" i="15"/>
  <c r="T40" i="15"/>
  <c r="P35" i="19"/>
  <c r="U40" i="19"/>
  <c r="T40" i="19"/>
  <c r="P32" i="15"/>
  <c r="U43" i="15"/>
  <c r="T43" i="15"/>
  <c r="P32" i="19"/>
  <c r="U43" i="19"/>
  <c r="P38" i="15"/>
  <c r="T43" i="19"/>
  <c r="P33" i="9"/>
  <c r="U41" i="9"/>
  <c r="P38" i="9"/>
  <c r="T41" i="9"/>
  <c r="P33" i="19"/>
  <c r="U41" i="19"/>
  <c r="T41" i="19"/>
  <c r="O41" i="14"/>
  <c r="P41" i="14"/>
  <c r="U39" i="14"/>
  <c r="U45" i="14"/>
  <c r="T39" i="14"/>
  <c r="T45" i="14"/>
  <c r="C41" i="19"/>
  <c r="C41" i="14"/>
  <c r="O41" i="15"/>
  <c r="T39" i="15"/>
  <c r="T45" i="15"/>
  <c r="P41" i="15"/>
  <c r="U39" i="15"/>
  <c r="U45" i="15"/>
  <c r="N41" i="15"/>
  <c r="C42" i="15"/>
  <c r="T33" i="15"/>
  <c r="O42" i="15"/>
  <c r="F43" i="15"/>
  <c r="U27" i="15"/>
  <c r="E43" i="15"/>
  <c r="U28" i="15"/>
  <c r="J43" i="15"/>
  <c r="U26" i="15"/>
  <c r="I43" i="15"/>
  <c r="U31" i="15"/>
  <c r="T21" i="15"/>
  <c r="N43" i="15"/>
  <c r="U24" i="15"/>
  <c r="G43" i="15"/>
  <c r="U25" i="15"/>
  <c r="D43" i="15"/>
  <c r="U29" i="15"/>
  <c r="K43" i="15"/>
  <c r="U30" i="15"/>
  <c r="H43" i="15"/>
  <c r="U32" i="15"/>
  <c r="U34" i="15"/>
  <c r="M43" i="15"/>
  <c r="L43" i="15"/>
  <c r="T21" i="19"/>
  <c r="I43" i="19"/>
  <c r="M43" i="19"/>
  <c r="C43" i="15"/>
  <c r="O43" i="15"/>
  <c r="U33" i="15"/>
  <c r="O43" i="19"/>
  <c r="N41" i="9"/>
  <c r="O41" i="9"/>
  <c r="T39" i="9"/>
  <c r="T45" i="9"/>
  <c r="P41" i="9"/>
  <c r="U39" i="9"/>
  <c r="U45" i="9"/>
  <c r="N41" i="19"/>
  <c r="O41" i="19"/>
  <c r="T39" i="19"/>
  <c r="T45" i="19"/>
  <c r="P41" i="19"/>
  <c r="U39" i="19"/>
  <c r="B45" i="7"/>
  <c r="O45" i="7"/>
  <c r="T38" i="7"/>
  <c r="B45" i="19"/>
  <c r="O45" i="19"/>
  <c r="T38" i="19"/>
  <c r="P38" i="19"/>
  <c r="U45" i="19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Rickard</author>
    <author>www.statistikdatabasen.scb.se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Svensk Fjärrvärme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inom industri
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Skillnad mellan givna mängder och summa bränsletyp</t>
        </r>
      </text>
    </comment>
    <comment ref="E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Upskattat som 1/4 av återstående inom länet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Antagen vara mindre än slutanv. industri, försummas.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Antags vara 0 enligt föregående års KRE.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Rickard</author>
    <author>www.statistikdatabasen.scb.se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Antagen vara i linje med föregående år. 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Restrerande mängd i kolumnen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mängd i kolumnen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Halva såld värme lokaler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Medelvärdet av mängden år 2009-2013.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mängd i kolumnen.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mängd inom småhus.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fjärrvärmekollen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mängd i summa bränsletyp</t>
        </r>
      </text>
    </comment>
  </commentList>
</comments>
</file>

<file path=xl/comments7.xml><?xml version="1.0" encoding="utf-8"?>
<comments xmlns="http://schemas.openxmlformats.org/spreadsheetml/2006/main">
  <authors>
    <author>Rickard</author>
    <author>www.statistikdatabasen.scb.se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mälarenergi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mälarenergi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2" authorId="1">
      <text>
        <r>
          <rPr>
            <b/>
            <sz val="9"/>
            <color indexed="81"/>
            <rFont val="Tahoma"/>
            <family val="2"/>
          </rPr>
          <t xml:space="preserve">Rickard:
</t>
        </r>
        <r>
          <rPr>
            <sz val="9"/>
            <color indexed="81"/>
            <rFont val="Tahoma"/>
            <family val="2"/>
          </rPr>
          <t>Resterande industri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Samma som 2013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inom transporter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 xml:space="preserve">Rickard:
</t>
        </r>
        <r>
          <rPr>
            <sz val="9"/>
            <color indexed="81"/>
            <rFont val="Tahoma"/>
            <family val="2"/>
          </rPr>
          <t>Uppgifter från fjärrvärmekollen minus mängden som är flyttad till industri.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inom övriga tjänster. 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länet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transporter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övriga tjänster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kolumnen</t>
        </r>
      </text>
    </comment>
  </commentList>
</comments>
</file>

<file path=xl/sharedStrings.xml><?xml version="1.0" encoding="utf-8"?>
<sst xmlns="http://schemas.openxmlformats.org/spreadsheetml/2006/main" count="1010" uniqueCount="72">
  <si>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</si>
  <si>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</si>
  <si>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</si>
  <si>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</si>
  <si>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</si>
  <si>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</si>
  <si>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</si>
  <si>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</si>
  <si>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</si>
  <si>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</si>
  <si>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</si>
  <si>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</si>
  <si>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</si>
  <si>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</si>
  <si>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</si>
  <si>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</si>
  <si>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</si>
  <si>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</si>
  <si>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</si>
  <si>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</si>
  <si>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</si>
  <si>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</si>
  <si>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</si>
  <si>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</si>
  <si>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</si>
  <si>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</si>
  <si>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</si>
  <si>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</si>
  <si>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</si>
  <si>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</si>
  <si>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</si>
  <si>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</si>
  <si>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</si>
  <si>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</si>
  <si>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</si>
  <si>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</si>
  <si>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</si>
  <si>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</si>
  <si>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</si>
  <si>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</si>
  <si>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</si>
  <si>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</si>
  <si>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</si>
  <si>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</si>
  <si>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</si>
  <si>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</si>
  <si>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</si>
  <si>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</si>
  <si>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</si>
  <si>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</si>
  <si>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</si>
  <si>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</si>
  <si>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</si>
  <si>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</si>
  <si>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</si>
  <si>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</si>
  <si>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</si>
  <si>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</si>
  <si>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1907 Surahammar</t>
  </si>
  <si>
    <t>1980 Västerås</t>
  </si>
  <si>
    <t>1982 Fagersta</t>
  </si>
  <si>
    <t>1983 Köping</t>
  </si>
  <si>
    <t>1904 Skinnskatteberg</t>
  </si>
  <si>
    <t>1960 Kungsör</t>
  </si>
  <si>
    <t>1961 Hallstahammar</t>
  </si>
  <si>
    <t>1962 Norberg</t>
  </si>
  <si>
    <t>1981 Sala</t>
  </si>
  <si>
    <t>1984 Arboga</t>
  </si>
  <si>
    <t>Västmanlands län</t>
  </si>
  <si>
    <t>Biobränslen</t>
  </si>
  <si>
    <t>RT-flis</t>
  </si>
  <si>
    <t>Solceller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</si>
</sst>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0.000"/>
  </numFmts>
  <fonts count="5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2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86">
    <xf numFmtId="0" fontId="0" fillId="0" borderId="0"/>
    <xf numFmtId="0" fontId="7" fillId="0" borderId="0" applyNumberFormat="0" applyBorder="0" applyAlignment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8" fillId="0" borderId="0" xfId="1" applyFont="1" applyFill="1" applyProtection="1"/>
    <xf numFmtId="0" fontId="7" fillId="0" borderId="0" xfId="1" applyFill="1" applyProtection="1"/>
    <xf numFmtId="0" fontId="9" fillId="0" borderId="0" xfId="1" applyFont="1"/>
    <xf numFmtId="0" fontId="10" fillId="0" borderId="0" xfId="0" applyFont="1"/>
    <xf numFmtId="0" fontId="11" fillId="0" borderId="0" xfId="1" applyFont="1" applyFill="1" applyProtection="1"/>
    <xf numFmtId="3" fontId="7" fillId="0" borderId="0" xfId="1" applyNumberFormat="1"/>
    <xf numFmtId="0" fontId="7" fillId="0" borderId="0" xfId="1"/>
    <xf numFmtId="0" fontId="11" fillId="0" borderId="0" xfId="0" applyFont="1" applyFill="1" applyProtection="1"/>
    <xf numFmtId="3" fontId="12" fillId="0" borderId="0" xfId="0" applyNumberFormat="1" applyFont="1"/>
    <xf numFmtId="3" fontId="7" fillId="0" borderId="0" xfId="1" applyNumberFormat="1" applyFill="1" applyProtection="1"/>
    <xf numFmtId="3" fontId="13" fillId="0" borderId="0" xfId="1" applyNumberFormat="1" applyFont="1" applyFill="1" applyProtection="1"/>
    <xf numFmtId="164" fontId="7" fillId="0" borderId="0" xfId="1" applyNumberFormat="1"/>
    <xf numFmtId="4" fontId="7" fillId="0" borderId="0" xfId="1" applyNumberFormat="1"/>
    <xf numFmtId="165" fontId="7" fillId="0" borderId="0" xfId="1" applyNumberFormat="1"/>
    <xf numFmtId="10" fontId="7" fillId="0" borderId="0" xfId="1" applyNumberFormat="1"/>
    <xf numFmtId="3" fontId="12" fillId="0" borderId="0" xfId="0" applyNumberFormat="1" applyFont="1" applyAlignment="1">
      <alignment horizontal="right"/>
    </xf>
    <xf numFmtId="165" fontId="14" fillId="0" borderId="0" xfId="1" applyNumberFormat="1" applyFont="1"/>
    <xf numFmtId="165" fontId="9" fillId="0" borderId="0" xfId="1" applyNumberFormat="1" applyFont="1"/>
    <xf numFmtId="166" fontId="7" fillId="0" borderId="0" xfId="1" applyNumberFormat="1"/>
    <xf numFmtId="2" fontId="7" fillId="0" borderId="0" xfId="1" applyNumberFormat="1"/>
    <xf numFmtId="0" fontId="15" fillId="0" borderId="0" xfId="1" applyFont="1"/>
    <xf numFmtId="3" fontId="15" fillId="0" borderId="0" xfId="1" applyNumberFormat="1" applyFont="1"/>
    <xf numFmtId="3" fontId="14" fillId="0" borderId="0" xfId="1" applyNumberFormat="1" applyFont="1"/>
    <xf numFmtId="3" fontId="14" fillId="2" borderId="0" xfId="1" applyNumberFormat="1" applyFont="1" applyFill="1"/>
    <xf numFmtId="3" fontId="16" fillId="2" borderId="0" xfId="1" applyNumberFormat="1" applyFont="1" applyFill="1"/>
    <xf numFmtId="3" fontId="7" fillId="2" borderId="0" xfId="1" applyNumberFormat="1" applyFill="1"/>
    <xf numFmtId="0" fontId="12" fillId="0" borderId="0" xfId="0" applyFont="1"/>
    <xf numFmtId="0" fontId="12" fillId="0" borderId="0" xfId="0" applyFont="1" applyAlignment="1">
      <alignment horizontal="right"/>
    </xf>
    <xf numFmtId="1" fontId="7" fillId="0" borderId="0" xfId="1" applyNumberFormat="1"/>
    <xf numFmtId="165" fontId="14" fillId="0" borderId="0" xfId="2" applyNumberFormat="1" applyFont="1"/>
    <xf numFmtId="165" fontId="6" fillId="0" borderId="0" xfId="2" applyNumberFormat="1" applyFont="1"/>
    <xf numFmtId="3" fontId="16" fillId="0" borderId="0" xfId="1" applyNumberFormat="1" applyFont="1"/>
    <xf numFmtId="9" fontId="16" fillId="0" borderId="0" xfId="2" applyFont="1"/>
    <xf numFmtId="0" fontId="7" fillId="0" borderId="0" xfId="1" applyAlignment="1">
      <alignment horizontal="right"/>
    </xf>
    <xf numFmtId="3" fontId="7" fillId="0" borderId="0" xfId="1" applyNumberFormat="1" applyAlignment="1">
      <alignment horizontal="right"/>
    </xf>
    <xf numFmtId="9" fontId="16" fillId="0" borderId="0" xfId="2" applyNumberFormat="1" applyFont="1"/>
    <xf numFmtId="9" fontId="6" fillId="0" borderId="0" xfId="2" applyFont="1"/>
    <xf numFmtId="165" fontId="5" fillId="0" borderId="0" xfId="2" applyNumberFormat="1" applyFont="1"/>
    <xf numFmtId="9" fontId="5" fillId="0" borderId="0" xfId="2" applyFont="1"/>
    <xf numFmtId="167" fontId="7" fillId="0" borderId="0" xfId="1" applyNumberFormat="1"/>
    <xf numFmtId="3" fontId="20" fillId="0" borderId="0" xfId="0" applyNumberFormat="1" applyFont="1"/>
    <xf numFmtId="9" fontId="7" fillId="0" borderId="0" xfId="13" applyFont="1"/>
    <xf numFmtId="3" fontId="0" fillId="0" borderId="0" xfId="0" applyNumberFormat="1" applyFill="1" applyProtection="1"/>
    <xf numFmtId="3" fontId="23" fillId="0" borderId="0" xfId="1" applyNumberFormat="1" applyFont="1" applyFill="1" applyProtection="1"/>
    <xf numFmtId="0" fontId="0" fillId="0" borderId="0" xfId="0" applyFill="1" applyProtection="1"/>
    <xf numFmtId="3" fontId="0" fillId="0" borderId="0" xfId="0" applyNumberFormat="1" applyFill="1" applyAlignment="1" applyProtection="1">
      <alignment horizontal="right"/>
    </xf>
    <xf numFmtId="165" fontId="7" fillId="0" borderId="0" xfId="1" applyNumberFormat="1" applyFill="1" applyProtection="1"/>
    <xf numFmtId="0" fontId="20" fillId="0" borderId="0" xfId="0" applyFont="1"/>
    <xf numFmtId="3" fontId="26" fillId="0" borderId="0" xfId="1" applyNumberFormat="1" applyFont="1"/>
    <xf numFmtId="0" fontId="23" fillId="0" borderId="0" xfId="1" applyFont="1" applyFill="1" applyProtection="1"/>
    <xf numFmtId="165" fontId="1" fillId="0" borderId="0" xfId="2" applyNumberFormat="1" applyFont="1"/>
    <xf numFmtId="3" fontId="0" fillId="0" borderId="0" xfId="1" applyNumberFormat="1" applyFont="1"/>
    <xf numFmtId="0" fontId="12" fillId="0" borderId="0" xfId="85" applyFont="1"/>
    <xf numFmtId="9" fontId="1" fillId="0" borderId="0" xfId="2" applyFont="1"/>
    <xf numFmtId="0" fontId="7" fillId="0" borderId="0" xfId="1" applyFont="1" applyFill="1" applyProtection="1"/>
    <xf numFmtId="3" fontId="9" fillId="0" borderId="0" xfId="1" applyNumberFormat="1" applyFont="1"/>
    <xf numFmtId="3" fontId="27" fillId="0" borderId="0" xfId="0" applyNumberFormat="1" applyFont="1" applyFill="1" applyAlignment="1" applyProtection="1">
      <alignment horizontal="right"/>
    </xf>
    <xf numFmtId="3" fontId="27" fillId="0" borderId="0" xfId="0" applyNumberFormat="1" applyFont="1" applyFill="1" applyProtection="1"/>
    <xf numFmtId="3" fontId="30" fillId="0" borderId="0" xfId="0" applyNumberFormat="1" applyFont="1" applyFill="1" applyAlignment="1" applyProtection="1">
      <alignment horizontal="right"/>
    </xf>
    <xf numFmtId="3" fontId="30" fillId="0" borderId="0" xfId="0" applyNumberFormat="1" applyFont="1" applyFill="1" applyProtection="1"/>
    <xf numFmtId="3" fontId="31" fillId="0" borderId="0" xfId="0" applyNumberFormat="1" applyFont="1" applyFill="1" applyAlignment="1" applyProtection="1">
      <alignment horizontal="right"/>
    </xf>
    <xf numFmtId="0" fontId="32" fillId="0" borderId="0" xfId="1" applyFont="1" applyFill="1" applyProtection="1"/>
    <xf numFmtId="0" fontId="33" fillId="0" borderId="0" xfId="1" applyFont="1" applyFill="1" applyProtection="1"/>
    <xf numFmtId="0" fontId="34" fillId="0" borderId="0" xfId="1" applyFont="1"/>
    <xf numFmtId="0" fontId="35" fillId="0" borderId="0" xfId="0" applyFont="1" applyFill="1" applyProtection="1"/>
    <xf numFmtId="0" fontId="36" fillId="0" borderId="0" xfId="0" applyFont="1" applyFill="1" applyProtection="1"/>
    <xf numFmtId="0" fontId="35" fillId="0" borderId="0" xfId="1" applyFont="1" applyFill="1" applyProtection="1"/>
    <xf numFmtId="3" fontId="33" fillId="0" borderId="0" xfId="1" applyNumberFormat="1" applyFont="1"/>
    <xf numFmtId="0" fontId="33" fillId="0" borderId="0" xfId="1" applyFont="1"/>
    <xf numFmtId="3" fontId="36" fillId="0" borderId="0" xfId="0" applyNumberFormat="1" applyFont="1" applyFill="1" applyAlignment="1" applyProtection="1">
      <alignment horizontal="right"/>
    </xf>
    <xf numFmtId="3" fontId="36" fillId="0" borderId="0" xfId="0" applyNumberFormat="1" applyFont="1" applyFill="1" applyProtection="1"/>
    <xf numFmtId="3" fontId="33" fillId="0" borderId="0" xfId="1" applyNumberFormat="1" applyFont="1" applyFill="1" applyProtection="1"/>
    <xf numFmtId="3" fontId="37" fillId="0" borderId="0" xfId="1" applyNumberFormat="1" applyFont="1" applyFill="1" applyProtection="1"/>
    <xf numFmtId="0" fontId="38" fillId="0" borderId="0" xfId="0" applyFont="1"/>
    <xf numFmtId="164" fontId="33" fillId="0" borderId="0" xfId="1" applyNumberFormat="1" applyFont="1"/>
    <xf numFmtId="4" fontId="33" fillId="0" borderId="0" xfId="1" applyNumberFormat="1" applyFont="1"/>
    <xf numFmtId="165" fontId="33" fillId="0" borderId="0" xfId="1" applyNumberFormat="1" applyFont="1"/>
    <xf numFmtId="10" fontId="33" fillId="0" borderId="0" xfId="1" applyNumberFormat="1" applyFont="1"/>
    <xf numFmtId="3" fontId="34" fillId="0" borderId="0" xfId="1" applyNumberFormat="1" applyFont="1"/>
    <xf numFmtId="165" fontId="33" fillId="0" borderId="0" xfId="1" applyNumberFormat="1" applyFont="1" applyFill="1" applyProtection="1"/>
    <xf numFmtId="165" fontId="39" fillId="0" borderId="0" xfId="1" applyNumberFormat="1" applyFont="1"/>
    <xf numFmtId="165" fontId="34" fillId="0" borderId="0" xfId="1" applyNumberFormat="1" applyFont="1"/>
    <xf numFmtId="166" fontId="33" fillId="0" borderId="0" xfId="1" applyNumberFormat="1" applyFont="1"/>
    <xf numFmtId="2" fontId="33" fillId="0" borderId="0" xfId="1" applyNumberFormat="1" applyFont="1"/>
    <xf numFmtId="0" fontId="40" fillId="0" borderId="0" xfId="1" applyFont="1"/>
    <xf numFmtId="3" fontId="40" fillId="0" borderId="0" xfId="1" applyNumberFormat="1" applyFont="1"/>
    <xf numFmtId="3" fontId="39" fillId="0" borderId="0" xfId="1" applyNumberFormat="1" applyFont="1"/>
    <xf numFmtId="3" fontId="39" fillId="2" borderId="0" xfId="1" applyNumberFormat="1" applyFont="1" applyFill="1"/>
    <xf numFmtId="3" fontId="41" fillId="2" borderId="0" xfId="1" applyNumberFormat="1" applyFont="1" applyFill="1"/>
    <xf numFmtId="3" fontId="33" fillId="2" borderId="0" xfId="1" applyNumberFormat="1" applyFont="1" applyFill="1"/>
    <xf numFmtId="9" fontId="33" fillId="0" borderId="0" xfId="13" applyFont="1"/>
    <xf numFmtId="0" fontId="36" fillId="0" borderId="0" xfId="0" applyFont="1"/>
    <xf numFmtId="3" fontId="36" fillId="0" borderId="0" xfId="0" applyNumberFormat="1" applyFont="1"/>
    <xf numFmtId="3" fontId="42" fillId="0" borderId="0" xfId="0" applyNumberFormat="1" applyFont="1"/>
    <xf numFmtId="0" fontId="42" fillId="0" borderId="0" xfId="0" applyFont="1"/>
    <xf numFmtId="0" fontId="42" fillId="0" borderId="0" xfId="0" applyFont="1" applyAlignment="1">
      <alignment horizontal="right"/>
    </xf>
    <xf numFmtId="1" fontId="33" fillId="0" borderId="0" xfId="1" applyNumberFormat="1" applyFont="1"/>
    <xf numFmtId="165" fontId="39" fillId="0" borderId="0" xfId="2" applyNumberFormat="1" applyFont="1"/>
    <xf numFmtId="165" fontId="36" fillId="0" borderId="0" xfId="2" applyNumberFormat="1" applyFont="1"/>
    <xf numFmtId="3" fontId="41" fillId="0" borderId="0" xfId="1" applyNumberFormat="1" applyFont="1"/>
    <xf numFmtId="9" fontId="41" fillId="0" borderId="0" xfId="2" applyFont="1"/>
    <xf numFmtId="0" fontId="33" fillId="0" borderId="0" xfId="1" applyFont="1" applyAlignment="1">
      <alignment horizontal="right"/>
    </xf>
    <xf numFmtId="3" fontId="33" fillId="0" borderId="0" xfId="1" applyNumberFormat="1" applyFont="1" applyAlignment="1">
      <alignment horizontal="right"/>
    </xf>
    <xf numFmtId="9" fontId="41" fillId="0" borderId="0" xfId="2" applyNumberFormat="1" applyFont="1"/>
    <xf numFmtId="9" fontId="36" fillId="0" borderId="0" xfId="2" applyFont="1"/>
    <xf numFmtId="9" fontId="43" fillId="0" borderId="0" xfId="13" applyFont="1"/>
    <xf numFmtId="3" fontId="7" fillId="0" borderId="0" xfId="1" applyNumberFormat="1" applyFont="1"/>
    <xf numFmtId="9" fontId="44" fillId="0" borderId="0" xfId="13" applyFont="1" applyFill="1" applyProtection="1"/>
    <xf numFmtId="9" fontId="7" fillId="0" borderId="0" xfId="13" applyFont="1" applyFill="1" applyProtection="1"/>
    <xf numFmtId="3" fontId="45" fillId="0" borderId="0" xfId="1" applyNumberFormat="1" applyFont="1" applyFill="1" applyProtection="1"/>
    <xf numFmtId="3" fontId="0" fillId="0" borderId="0" xfId="0" applyNumberFormat="1" applyFont="1" applyFill="1" applyProtection="1"/>
    <xf numFmtId="3" fontId="10" fillId="0" borderId="0" xfId="0" applyNumberFormat="1" applyFont="1"/>
    <xf numFmtId="166" fontId="7" fillId="0" borderId="0" xfId="1" applyNumberFormat="1" applyFill="1" applyProtection="1"/>
    <xf numFmtId="3" fontId="0" fillId="0" borderId="0" xfId="0" applyNumberFormat="1" applyFont="1" applyFill="1" applyAlignment="1" applyProtection="1">
      <alignment horizontal="right"/>
    </xf>
    <xf numFmtId="3" fontId="46" fillId="0" borderId="0" xfId="0" applyNumberFormat="1" applyFont="1" applyFill="1" applyAlignment="1" applyProtection="1">
      <alignment horizontal="right"/>
    </xf>
    <xf numFmtId="3" fontId="47" fillId="0" borderId="0" xfId="0" applyNumberFormat="1" applyFont="1" applyAlignment="1">
      <alignment horizontal="right"/>
    </xf>
    <xf numFmtId="0" fontId="48" fillId="0" borderId="0" xfId="0" applyFont="1" applyFill="1" applyProtection="1"/>
    <xf numFmtId="3" fontId="49" fillId="0" borderId="0" xfId="1" applyNumberFormat="1" applyFont="1" applyFill="1" applyProtection="1"/>
    <xf numFmtId="4" fontId="7" fillId="0" borderId="0" xfId="1" applyNumberFormat="1" applyFill="1" applyProtection="1"/>
  </cellXfs>
  <cellStyles count="86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4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3" builtinId="8" hidden="1"/>
    <cellStyle name="Normal" xfId="0" builtinId="0"/>
    <cellStyle name="Normal 2" xfId="1"/>
    <cellStyle name="Normal 3" xfId="85"/>
    <cellStyle name="Normal 5" xfId="27"/>
    <cellStyle name="Percent 2" xfId="2"/>
    <cellStyle name="Percent 3" xfId="26"/>
    <cellStyle name="Percent 4" xfId="82"/>
    <cellStyle name="Procent" xfId="1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10.vml"/><Relationship Id="rId3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8.vml"/><Relationship Id="rId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9.vml"/><Relationship Id="rId3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abSelected="1" topLeftCell="A10" workbookViewId="0">
      <selection activeCell="C11" sqref="C11"/>
    </sheetView>
  </sheetViews>
  <sheetFormatPr baseColWidth="10" defaultColWidth="8.6640625" defaultRowHeight="15" x14ac:dyDescent="0.2"/>
  <cols>
    <col min="1" max="1" width="21.1640625" style="2" customWidth="1"/>
    <col min="2" max="2" width="9.5" style="2" customWidth="1"/>
    <col min="3" max="13" width="8.6640625" style="2" customWidth="1"/>
    <col min="14" max="14" width="9.33203125" style="2" customWidth="1"/>
    <col min="15" max="15" width="10.33203125" style="2" customWidth="1"/>
    <col min="16" max="21" width="8.6640625" style="2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68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8</v>
      </c>
      <c r="N3" s="6"/>
      <c r="O3" s="7" t="s">
        <v>10</v>
      </c>
      <c r="P3" s="3"/>
      <c r="Q3" s="3"/>
      <c r="R3" s="3"/>
      <c r="S3" s="3"/>
      <c r="T3" s="3"/>
      <c r="U3" s="3"/>
    </row>
    <row r="4" spans="1:21" ht="15.75" x14ac:dyDescent="0.25">
      <c r="A4" s="5" t="s">
        <v>71</v>
      </c>
      <c r="B4" s="16">
        <f>SUM(Skinnskatteberg:Arboga!B4)</f>
        <v>3161.6</v>
      </c>
      <c r="C4" s="9"/>
      <c r="D4" s="10"/>
      <c r="P4" s="3"/>
      <c r="Q4" s="3"/>
      <c r="R4" s="3"/>
      <c r="S4" s="3"/>
      <c r="T4" s="3"/>
      <c r="U4" s="3"/>
    </row>
    <row r="5" spans="1:21" ht="15.75" x14ac:dyDescent="0.25">
      <c r="A5" s="5"/>
      <c r="B5" s="16"/>
      <c r="C5" s="45"/>
      <c r="D5" s="45"/>
      <c r="E5" s="45"/>
      <c r="F5" s="45"/>
      <c r="G5" s="45"/>
      <c r="P5" s="3"/>
      <c r="Q5" s="48"/>
      <c r="R5" s="3"/>
      <c r="S5" s="3"/>
      <c r="T5" s="3"/>
      <c r="U5" s="3"/>
    </row>
    <row r="6" spans="1:21" ht="16" x14ac:dyDescent="0.2">
      <c r="A6" s="8" t="s">
        <v>11</v>
      </c>
      <c r="B6" s="16">
        <f>SUM(Skinnskatteberg:Arboga!B6)</f>
        <v>270818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3"/>
      <c r="Q6" s="49"/>
      <c r="R6" s="44"/>
      <c r="S6" s="3"/>
      <c r="T6" s="3"/>
      <c r="U6" s="3"/>
    </row>
    <row r="7" spans="1:21" ht="16" x14ac:dyDescent="0.2">
      <c r="A7" s="8" t="s">
        <v>12</v>
      </c>
      <c r="B7" s="16">
        <f>SUM(Skinnskatteberg:Arboga!B7)</f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3"/>
      <c r="Q7" s="49"/>
      <c r="R7" s="44"/>
      <c r="S7" s="3"/>
      <c r="T7" s="3"/>
      <c r="U7" s="3"/>
    </row>
    <row r="8" spans="1:21" ht="15.75" x14ac:dyDescent="0.25">
      <c r="A8" s="8" t="s">
        <v>13</v>
      </c>
      <c r="B8" s="16">
        <f>SUM(Skinnskatteberg:Arboga!B8)</f>
        <v>194898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6"/>
      <c r="P8" s="3"/>
      <c r="Q8" s="3"/>
      <c r="R8" s="3"/>
      <c r="S8" s="3"/>
      <c r="T8" s="3"/>
      <c r="U8" s="3"/>
    </row>
    <row r="9" spans="1:21" ht="15.75" x14ac:dyDescent="0.25">
      <c r="A9" s="8" t="s">
        <v>14</v>
      </c>
      <c r="B9" s="16">
        <f>SUM(Skinnskatteberg:Arboga!B9)</f>
        <v>39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6"/>
      <c r="P9" s="3"/>
      <c r="Q9" s="3"/>
      <c r="R9" s="3"/>
      <c r="S9" s="3"/>
      <c r="T9" s="3"/>
      <c r="U9" s="3"/>
    </row>
    <row r="10" spans="1:21" ht="16" x14ac:dyDescent="0.2">
      <c r="A10" s="8" t="s">
        <v>15</v>
      </c>
      <c r="B10" s="16">
        <f>SUM(B4:B9)</f>
        <v>468916.6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6">
        <v>0</v>
      </c>
      <c r="P10" s="3"/>
      <c r="Q10" s="3"/>
      <c r="R10" s="3"/>
      <c r="S10" s="3"/>
      <c r="T10" s="3"/>
      <c r="U10" s="3"/>
    </row>
    <row r="11" spans="1:21" ht="15.75" x14ac:dyDescent="0.25">
      <c r="A11" s="50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"/>
      <c r="Q11" s="3"/>
      <c r="R11" s="3"/>
      <c r="S11" s="3"/>
      <c r="T11" s="3"/>
      <c r="U11" s="3"/>
    </row>
    <row r="12" spans="1:21" ht="15.75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"/>
      <c r="Q12" s="3"/>
      <c r="R12" s="3"/>
      <c r="S12" s="3"/>
      <c r="T12" s="3"/>
      <c r="U12" s="3"/>
    </row>
    <row r="13" spans="1:21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21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21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70</v>
      </c>
      <c r="M15" s="6" t="s">
        <v>8</v>
      </c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21" ht="15.75" x14ac:dyDescent="0.25">
      <c r="B16" s="10"/>
      <c r="C16" s="45"/>
      <c r="D16" s="45"/>
      <c r="E16" s="45"/>
      <c r="F16" s="45"/>
      <c r="G16" s="45"/>
      <c r="H16" s="10"/>
      <c r="I16" s="10"/>
      <c r="J16" s="10"/>
      <c r="K16" s="10"/>
      <c r="L16" s="10"/>
      <c r="M16" s="10"/>
      <c r="N16" s="10"/>
      <c r="O16" s="10"/>
      <c r="P16" s="3"/>
      <c r="Q16" s="48"/>
      <c r="R16" s="3"/>
      <c r="S16" s="3"/>
      <c r="T16" s="3"/>
      <c r="U16" s="3"/>
    </row>
    <row r="17" spans="1:24" ht="16" x14ac:dyDescent="0.2">
      <c r="A17" s="8" t="s">
        <v>19</v>
      </c>
      <c r="B17" s="16">
        <f>SUM(Skinnskatteberg:Arboga!B17)</f>
        <v>1717728.5888888889</v>
      </c>
      <c r="C17" s="16">
        <f>SUM(Skinnskatteberg:Arboga!C17)</f>
        <v>22430</v>
      </c>
      <c r="D17" s="16">
        <f>SUM(Skinnskatteberg:Arboga!D17)</f>
        <v>203620</v>
      </c>
      <c r="E17" s="16">
        <f>SUM(Skinnskatteberg:Arboga!E17)</f>
        <v>0</v>
      </c>
      <c r="F17" s="16">
        <f>SUM(Skinnskatteberg:Arboga!F17)</f>
        <v>48115</v>
      </c>
      <c r="G17" s="16">
        <f>SUM(Skinnskatteberg:Arboga!G17)</f>
        <v>612948</v>
      </c>
      <c r="H17" s="16">
        <f>SUM(Skinnskatteberg:Arboga!H17)</f>
        <v>1127</v>
      </c>
      <c r="I17" s="16">
        <f>SUM(Skinnskatteberg:Arboga!I17)</f>
        <v>0</v>
      </c>
      <c r="J17" s="16">
        <f>SUM(Skinnskatteberg:Arboga!J17)</f>
        <v>62530</v>
      </c>
      <c r="K17" s="16">
        <f>SUM(Skinnskatteberg:Arboga!K17)</f>
        <v>927167</v>
      </c>
      <c r="L17" s="16">
        <f>SUM(Skinnskatteberg:Arboga!L17)</f>
        <v>159635</v>
      </c>
      <c r="M17" s="16">
        <f>SUM(Skinnskatteberg:Arboga!M17)</f>
        <v>0</v>
      </c>
      <c r="N17" s="16">
        <f>SUM(Skinnskatteberg:Arboga!N17)</f>
        <v>5870</v>
      </c>
      <c r="O17" s="16">
        <f>SUM(C17:N17)</f>
        <v>2043442</v>
      </c>
      <c r="P17" s="3"/>
      <c r="Q17" s="49"/>
      <c r="R17" s="44"/>
      <c r="S17" s="3"/>
      <c r="T17" s="3"/>
      <c r="U17" s="3"/>
    </row>
    <row r="18" spans="1:24" ht="16" x14ac:dyDescent="0.2">
      <c r="A18" s="8" t="s">
        <v>20</v>
      </c>
      <c r="B18" s="16">
        <f>SUM(Skinnskatteberg:Arboga!B18)</f>
        <v>393934</v>
      </c>
      <c r="C18" s="16">
        <f>SUM(Skinnskatteberg:Arboga!C18)</f>
        <v>1723</v>
      </c>
      <c r="D18" s="16">
        <f>SUM(Skinnskatteberg:Arboga!D18)</f>
        <v>72145</v>
      </c>
      <c r="E18" s="16">
        <f>SUM(Skinnskatteberg:Arboga!E18)</f>
        <v>0</v>
      </c>
      <c r="F18" s="16">
        <f>SUM(Skinnskatteberg:Arboga!F18)</f>
        <v>7563</v>
      </c>
      <c r="G18" s="16">
        <f>SUM(Skinnskatteberg:Arboga!G18)</f>
        <v>326624.33333333337</v>
      </c>
      <c r="H18" s="16">
        <f>SUM(Skinnskatteberg:Arboga!H18)</f>
        <v>0</v>
      </c>
      <c r="I18" s="16">
        <f>SUM(Skinnskatteberg:Arboga!I18)</f>
        <v>0</v>
      </c>
      <c r="J18" s="16">
        <f>SUM(Skinnskatteberg:Arboga!J18)</f>
        <v>6669</v>
      </c>
      <c r="K18" s="16">
        <f>SUM(Skinnskatteberg:Arboga!K18)</f>
        <v>0</v>
      </c>
      <c r="L18" s="16">
        <f>SUM(Skinnskatteberg:Arboga!L18)</f>
        <v>0</v>
      </c>
      <c r="M18" s="16">
        <f>SUM(Skinnskatteberg:Arboga!M18)</f>
        <v>0</v>
      </c>
      <c r="N18" s="16">
        <f>SUM(Skinnskatteberg:Arboga!N18)</f>
        <v>13841</v>
      </c>
      <c r="O18" s="16">
        <f>SUM(C18:N18)</f>
        <v>428565.33333333337</v>
      </c>
      <c r="P18" s="3"/>
      <c r="Q18" s="49"/>
      <c r="R18" s="44"/>
      <c r="S18" s="3"/>
      <c r="T18" s="3"/>
      <c r="U18" s="3"/>
    </row>
    <row r="19" spans="1:24" ht="15.75" x14ac:dyDescent="0.25">
      <c r="A19" s="8" t="s">
        <v>21</v>
      </c>
      <c r="B19" s="16">
        <f>SUM(Skinnskatteberg:Arboga!B19)</f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6"/>
      <c r="O19" s="16"/>
      <c r="P19" s="3"/>
      <c r="Q19" s="3"/>
      <c r="R19" s="3"/>
      <c r="S19" s="3"/>
      <c r="T19" s="3"/>
      <c r="U19" s="3"/>
    </row>
    <row r="20" spans="1:24" ht="16" x14ac:dyDescent="0.2">
      <c r="A20" s="8" t="s">
        <v>22</v>
      </c>
      <c r="B20" s="16">
        <f>SUM(Skinnskatteberg:Arboga!B20)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6"/>
      <c r="O20" s="16"/>
      <c r="P20" s="3"/>
      <c r="Q20" s="3"/>
      <c r="R20" s="3"/>
      <c r="S20" s="3"/>
      <c r="T20" s="3"/>
      <c r="U20" s="3"/>
    </row>
    <row r="21" spans="1:24" ht="16" x14ac:dyDescent="0.2">
      <c r="A21" s="8" t="s">
        <v>23</v>
      </c>
      <c r="B21" s="16">
        <f>SUM(Skinnskatteberg:Arboga!B21)</f>
        <v>175691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6"/>
      <c r="P21" s="3"/>
      <c r="Q21" s="3"/>
      <c r="R21" s="3"/>
      <c r="S21" s="3" t="s">
        <v>25</v>
      </c>
      <c r="T21" s="12">
        <f>O42/1000</f>
        <v>8904.1872488888876</v>
      </c>
      <c r="U21" s="3"/>
    </row>
    <row r="22" spans="1:24" ht="16" x14ac:dyDescent="0.2">
      <c r="A22" s="8" t="s">
        <v>24</v>
      </c>
      <c r="B22" s="16">
        <f>SUM(Skinnskatteberg:Arboga!B22)</f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6"/>
      <c r="P22" s="3"/>
      <c r="Q22" s="3"/>
      <c r="R22" s="3"/>
      <c r="S22" s="3"/>
      <c r="T22" s="3"/>
      <c r="U22" s="3"/>
    </row>
    <row r="23" spans="1:24" ht="16" x14ac:dyDescent="0.2">
      <c r="A23" s="8" t="s">
        <v>15</v>
      </c>
      <c r="B23" s="16">
        <f>SUM(B17:B22)</f>
        <v>2287353.5888888892</v>
      </c>
      <c r="C23" s="16">
        <f t="shared" ref="C23:O23" si="0">SUM(C17:C22)</f>
        <v>24153</v>
      </c>
      <c r="D23" s="16">
        <f t="shared" si="0"/>
        <v>275765</v>
      </c>
      <c r="E23" s="16">
        <f t="shared" si="0"/>
        <v>0</v>
      </c>
      <c r="F23" s="16">
        <f t="shared" si="0"/>
        <v>55678</v>
      </c>
      <c r="G23" s="16">
        <f t="shared" si="0"/>
        <v>939572.33333333337</v>
      </c>
      <c r="H23" s="16">
        <f t="shared" si="0"/>
        <v>1127</v>
      </c>
      <c r="I23" s="16">
        <f t="shared" si="0"/>
        <v>0</v>
      </c>
      <c r="J23" s="16">
        <f t="shared" si="0"/>
        <v>69199</v>
      </c>
      <c r="K23" s="16">
        <f t="shared" si="0"/>
        <v>927167</v>
      </c>
      <c r="L23" s="16">
        <f t="shared" si="0"/>
        <v>159635</v>
      </c>
      <c r="M23" s="16">
        <f t="shared" si="0"/>
        <v>0</v>
      </c>
      <c r="N23" s="16">
        <f t="shared" si="0"/>
        <v>19711</v>
      </c>
      <c r="O23" s="16">
        <f t="shared" si="0"/>
        <v>2472007.3333333335</v>
      </c>
      <c r="P23" s="3"/>
      <c r="Q23" s="3"/>
      <c r="R23" s="3"/>
      <c r="S23" s="3"/>
      <c r="T23" s="3" t="s">
        <v>26</v>
      </c>
      <c r="U23" s="3" t="s">
        <v>27</v>
      </c>
    </row>
    <row r="24" spans="1:24" ht="15.75" x14ac:dyDescent="0.25">
      <c r="A24" s="5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"/>
      <c r="Q24" s="3"/>
      <c r="R24" s="3"/>
      <c r="S24" s="3" t="s">
        <v>9</v>
      </c>
      <c r="T24" s="13">
        <f>N42/1000</f>
        <v>2720.6663599999997</v>
      </c>
      <c r="U24" s="14">
        <f>N43</f>
        <v>0.30554909549319048</v>
      </c>
    </row>
    <row r="25" spans="1:24" ht="16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"/>
      <c r="Q25" s="3"/>
      <c r="R25" s="3"/>
      <c r="S25" s="3" t="s">
        <v>69</v>
      </c>
      <c r="T25" s="13">
        <f>G42/1000</f>
        <v>1248.6653333333336</v>
      </c>
      <c r="U25" s="15">
        <f>G43</f>
        <v>0.14023349896299056</v>
      </c>
    </row>
    <row r="26" spans="1:24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6</v>
      </c>
      <c r="T26" s="13">
        <f>J42/1000</f>
        <v>69.198999999999998</v>
      </c>
      <c r="U26" s="14">
        <f>J43</f>
        <v>7.7715122184380189E-3</v>
      </c>
    </row>
    <row r="27" spans="1:24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260.70299999999997</v>
      </c>
      <c r="U27" s="14">
        <f>F43</f>
        <v>2.9278696944803347E-2</v>
      </c>
    </row>
    <row r="28" spans="1:24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110.01911111111112</v>
      </c>
      <c r="U28" s="14">
        <f>E43</f>
        <v>1.2355884713098311E-2</v>
      </c>
    </row>
    <row r="29" spans="1:24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596.58000000000004</v>
      </c>
      <c r="U29" s="47">
        <f>D43</f>
        <v>6.6999938716972116E-2</v>
      </c>
      <c r="W29" s="119"/>
    </row>
    <row r="30" spans="1:24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7</v>
      </c>
      <c r="T30" s="2">
        <f>K42/1000</f>
        <v>927.16700000000003</v>
      </c>
      <c r="U30" s="47">
        <f>K43</f>
        <v>0.10412707797847545</v>
      </c>
      <c r="W30" s="48"/>
    </row>
    <row r="31" spans="1:24" ht="15.75" x14ac:dyDescent="0.25">
      <c r="A31" s="5" t="s">
        <v>32</v>
      </c>
      <c r="B31" s="16">
        <f>SUM(Skinnskatteberg:Arboga!B31)</f>
        <v>0</v>
      </c>
      <c r="C31" s="16">
        <f>SUM(Skinnskatteberg:Arboga!C31)</f>
        <v>69597</v>
      </c>
      <c r="D31" s="16">
        <f>SUM(Skinnskatteberg:Arboga!D31)</f>
        <v>0</v>
      </c>
      <c r="E31" s="16">
        <f>SUM(Skinnskatteberg:Arboga!E31)</f>
        <v>0</v>
      </c>
      <c r="F31" s="16">
        <f>SUM(Skinnskatteberg:Arboga!F31)</f>
        <v>7042</v>
      </c>
      <c r="G31" s="16">
        <f>SUM(Skinnskatteberg:Arboga!G31)</f>
        <v>0</v>
      </c>
      <c r="H31" s="16">
        <f>SUM(Skinnskatteberg:Arboga!H31)</f>
        <v>0</v>
      </c>
      <c r="I31" s="16">
        <f>SUM(Skinnskatteberg:Arboga!I31)</f>
        <v>0</v>
      </c>
      <c r="J31" s="16">
        <f>SUM(Skinnskatteberg:Arboga!J31)</f>
        <v>0</v>
      </c>
      <c r="K31" s="16">
        <f>SUM(Skinnskatteberg:Arboga!K31)</f>
        <v>0</v>
      </c>
      <c r="L31" s="16">
        <f>SUM(Skinnskatteberg:Arboga!L31)</f>
        <v>0</v>
      </c>
      <c r="M31" s="16">
        <f>SUM(Skinnskatteberg:Arboga!M31)</f>
        <v>0</v>
      </c>
      <c r="N31" s="16">
        <f>SUM(Skinnskatteberg:Arboga!N31)</f>
        <v>66725</v>
      </c>
      <c r="O31" s="16">
        <f>SUM(B31:N31)</f>
        <v>143364</v>
      </c>
      <c r="P31" s="17">
        <f>O31/O$39</f>
        <v>1.7022876173641156E-2</v>
      </c>
      <c r="Q31" s="18" t="s">
        <v>33</v>
      </c>
      <c r="R31" s="3"/>
      <c r="S31" s="56" t="str">
        <f>L15</f>
        <v>RT-flis</v>
      </c>
      <c r="T31" s="13">
        <f>L42/1000</f>
        <v>159.63499999999999</v>
      </c>
      <c r="U31" s="14">
        <f>L43</f>
        <v>1.7928082096422684E-2</v>
      </c>
      <c r="W31" s="44"/>
      <c r="X31" s="44"/>
    </row>
    <row r="32" spans="1:24" ht="15.75" x14ac:dyDescent="0.25">
      <c r="A32" s="5" t="s">
        <v>35</v>
      </c>
      <c r="B32" s="16">
        <f>SUM(Skinnskatteberg:Arboga!B32)</f>
        <v>199699.74612546127</v>
      </c>
      <c r="C32" s="16">
        <f>SUM(Skinnskatteberg:Arboga!C32)</f>
        <v>68009</v>
      </c>
      <c r="D32" s="16">
        <f>SUM(Skinnskatteberg:Arboga!D32)</f>
        <v>320815</v>
      </c>
      <c r="E32" s="16">
        <f>SUM(Skinnskatteberg:Arboga!E32)</f>
        <v>96660</v>
      </c>
      <c r="F32" s="16">
        <f>SUM(Skinnskatteberg:Arboga!F32)</f>
        <v>500</v>
      </c>
      <c r="G32" s="16">
        <f>SUM(Skinnskatteberg:Arboga!G32)</f>
        <v>62237</v>
      </c>
      <c r="H32" s="16">
        <f>SUM(Skinnskatteberg:Arboga!H32)</f>
        <v>0</v>
      </c>
      <c r="I32" s="16">
        <f>SUM(Skinnskatteberg:Arboga!I32)</f>
        <v>0</v>
      </c>
      <c r="J32" s="16">
        <f>SUM(Skinnskatteberg:Arboga!J32)</f>
        <v>0</v>
      </c>
      <c r="K32" s="16">
        <f>SUM(Skinnskatteberg:Arboga!K32)</f>
        <v>0</v>
      </c>
      <c r="L32" s="16">
        <f>SUM(Skinnskatteberg:Arboga!L32)</f>
        <v>0</v>
      </c>
      <c r="M32" s="16">
        <f>SUM(Skinnskatteberg:Arboga!M32)</f>
        <v>0</v>
      </c>
      <c r="N32" s="16">
        <f>SUM(Skinnskatteberg:Arboga!N32)</f>
        <v>988758.2538745387</v>
      </c>
      <c r="O32" s="16">
        <f t="shared" ref="O32:O38" si="1">SUM(B32:N32)</f>
        <v>1736679</v>
      </c>
      <c r="P32" s="17">
        <f>O32/O$39</f>
        <v>0.20621126342989141</v>
      </c>
      <c r="Q32" s="18" t="s">
        <v>36</v>
      </c>
      <c r="R32" s="3"/>
      <c r="S32" s="3" t="s">
        <v>5</v>
      </c>
      <c r="T32" s="13">
        <f>H42/1000</f>
        <v>55.920444444444435</v>
      </c>
      <c r="U32" s="14">
        <f>H43</f>
        <v>6.2802412933782919E-3</v>
      </c>
      <c r="W32" s="44"/>
      <c r="X32" s="44"/>
    </row>
    <row r="33" spans="1:48" ht="15.75" x14ac:dyDescent="0.25">
      <c r="A33" s="5" t="s">
        <v>37</v>
      </c>
      <c r="B33" s="16">
        <f>SUM(Skinnskatteberg:Arboga!B33)</f>
        <v>284983.69446494465</v>
      </c>
      <c r="C33" s="16">
        <f>SUM(Skinnskatteberg:Arboga!C33)</f>
        <v>1098</v>
      </c>
      <c r="D33" s="16">
        <f>SUM(Skinnskatteberg:Arboga!D33)</f>
        <v>0</v>
      </c>
      <c r="E33" s="16">
        <f>SUM(Skinnskatteberg:Arboga!E33)</f>
        <v>0</v>
      </c>
      <c r="F33" s="16">
        <f>SUM(Skinnskatteberg:Arboga!F33)</f>
        <v>0</v>
      </c>
      <c r="G33" s="16">
        <f>SUM(Skinnskatteberg:Arboga!G33)</f>
        <v>0</v>
      </c>
      <c r="H33" s="16">
        <f>SUM(Skinnskatteberg:Arboga!H33)</f>
        <v>0</v>
      </c>
      <c r="I33" s="16">
        <f>SUM(Skinnskatteberg:Arboga!I33)</f>
        <v>0</v>
      </c>
      <c r="J33" s="16">
        <f>SUM(Skinnskatteberg:Arboga!J33)</f>
        <v>0</v>
      </c>
      <c r="K33" s="16">
        <f>SUM(Skinnskatteberg:Arboga!K33)</f>
        <v>0</v>
      </c>
      <c r="L33" s="16">
        <f>SUM(Skinnskatteberg:Arboga!L33)</f>
        <v>0</v>
      </c>
      <c r="M33" s="16">
        <f>SUM(Skinnskatteberg:Arboga!M33)</f>
        <v>0</v>
      </c>
      <c r="N33" s="16">
        <f>SUM(Skinnskatteberg:Arboga!N33)</f>
        <v>317344</v>
      </c>
      <c r="O33" s="16">
        <f t="shared" si="1"/>
        <v>603425.69446494465</v>
      </c>
      <c r="P33" s="17">
        <f>O33/O$39</f>
        <v>7.1650071683757255E-2</v>
      </c>
      <c r="Q33" s="18" t="s">
        <v>38</v>
      </c>
      <c r="R33" s="3"/>
      <c r="S33" s="3" t="s">
        <v>34</v>
      </c>
      <c r="T33" s="13">
        <f>C42/1000</f>
        <v>2755.6320000000001</v>
      </c>
      <c r="U33" s="15">
        <f>C43</f>
        <v>0.30947597158223089</v>
      </c>
      <c r="W33" s="44"/>
      <c r="X33" s="44"/>
    </row>
    <row r="34" spans="1:48" ht="15.75" x14ac:dyDescent="0.25">
      <c r="A34" s="5" t="s">
        <v>39</v>
      </c>
      <c r="B34" s="16">
        <f>SUM(Skinnskatteberg:Arboga!B34)</f>
        <v>0</v>
      </c>
      <c r="C34" s="16">
        <f>SUM(Skinnskatteberg:Arboga!C34)</f>
        <v>2418800</v>
      </c>
      <c r="D34" s="16">
        <f>SUM(Skinnskatteberg:Arboga!D34)</f>
        <v>0</v>
      </c>
      <c r="E34" s="116">
        <f>1216*39.55/3.6</f>
        <v>13359.111111111109</v>
      </c>
      <c r="F34" s="16">
        <f>SUM(Skinnskatteberg:Arboga!F34)</f>
        <v>197483</v>
      </c>
      <c r="G34" s="16">
        <f>SUM(Skinnskatteberg:Arboga!G34)</f>
        <v>0</v>
      </c>
      <c r="H34" s="116">
        <f>5588*35.3/3.6</f>
        <v>54793.444444444438</v>
      </c>
      <c r="I34" s="16">
        <f>SUM(Skinnskatteberg:Arboga!I34)</f>
        <v>0</v>
      </c>
      <c r="J34" s="16">
        <f>SUM(Skinnskatteberg:Arboga!J34)</f>
        <v>0</v>
      </c>
      <c r="K34" s="16">
        <f>SUM(Skinnskatteberg:Arboga!K34)</f>
        <v>0</v>
      </c>
      <c r="L34" s="16">
        <f>SUM(Skinnskatteberg:Arboga!L34)</f>
        <v>0</v>
      </c>
      <c r="M34" s="16">
        <f>SUM(Skinnskatteberg:Arboga!M34)</f>
        <v>0</v>
      </c>
      <c r="N34" s="16">
        <f>SUM(Skinnskatteberg:Arboga!N34)</f>
        <v>61900</v>
      </c>
      <c r="O34" s="16">
        <f t="shared" si="1"/>
        <v>2746335.5555555555</v>
      </c>
      <c r="P34" s="17">
        <f>O34/O$39</f>
        <v>0.32609671949366797</v>
      </c>
      <c r="Q34" s="18" t="s">
        <v>40</v>
      </c>
      <c r="R34" s="3"/>
      <c r="S34" s="3"/>
      <c r="T34" s="13">
        <f>SUM(T24:T33)</f>
        <v>8904.1872488888894</v>
      </c>
      <c r="U34" s="14">
        <f>SUM(U24:U33)</f>
        <v>1.0000000000000002</v>
      </c>
      <c r="W34" s="44"/>
      <c r="X34" s="44"/>
    </row>
    <row r="35" spans="1:48" ht="16" x14ac:dyDescent="0.2">
      <c r="A35" s="5" t="s">
        <v>41</v>
      </c>
      <c r="B35" s="16">
        <f>SUM(Skinnskatteberg:Arboga!B35)</f>
        <v>357590</v>
      </c>
      <c r="C35" s="16">
        <f>SUM(Skinnskatteberg:Arboga!C35)</f>
        <v>172880.00000000003</v>
      </c>
      <c r="D35" s="16">
        <f>SUM(Skinnskatteberg:Arboga!D35)</f>
        <v>0</v>
      </c>
      <c r="E35" s="16">
        <f>SUM(Skinnskatteberg:Arboga!E35)</f>
        <v>0</v>
      </c>
      <c r="F35" s="16">
        <f>SUM(Skinnskatteberg:Arboga!F35)</f>
        <v>0</v>
      </c>
      <c r="G35" s="16">
        <f>SUM(Skinnskatteberg:Arboga!G35)</f>
        <v>0</v>
      </c>
      <c r="H35" s="16">
        <f>SUM(Skinnskatteberg:Arboga!H35)</f>
        <v>0</v>
      </c>
      <c r="I35" s="16">
        <f>SUM(Skinnskatteberg:Arboga!I35)</f>
        <v>0</v>
      </c>
      <c r="J35" s="16">
        <f>SUM(Skinnskatteberg:Arboga!J35)</f>
        <v>0</v>
      </c>
      <c r="K35" s="16">
        <f>SUM(Skinnskatteberg:Arboga!K35)</f>
        <v>0</v>
      </c>
      <c r="L35" s="16">
        <f>SUM(Skinnskatteberg:Arboga!L35)</f>
        <v>0</v>
      </c>
      <c r="M35" s="16">
        <f>SUM(Skinnskatteberg:Arboga!M35)</f>
        <v>0</v>
      </c>
      <c r="N35" s="16">
        <f>SUM(Skinnskatteberg:Arboga!N35)</f>
        <v>546412</v>
      </c>
      <c r="O35" s="16">
        <f t="shared" si="1"/>
        <v>1076882</v>
      </c>
      <c r="P35" s="17">
        <f>O35/O$39</f>
        <v>0.12786772787884709</v>
      </c>
      <c r="Q35" s="18" t="s">
        <v>42</v>
      </c>
      <c r="R35" s="18"/>
      <c r="W35" s="44"/>
      <c r="X35" s="44"/>
    </row>
    <row r="36" spans="1:48" ht="16" x14ac:dyDescent="0.2">
      <c r="A36" s="5" t="s">
        <v>43</v>
      </c>
      <c r="B36" s="16">
        <f>SUM(Skinnskatteberg:Arboga!B36)</f>
        <v>311293.33431734319</v>
      </c>
      <c r="C36" s="16">
        <f>SUM(Skinnskatteberg:Arboga!C36)</f>
        <v>1082</v>
      </c>
      <c r="D36" s="16">
        <f>SUM(Skinnskatteberg:Arboga!D36)</f>
        <v>0</v>
      </c>
      <c r="E36" s="16">
        <f>SUM(Skinnskatteberg:Arboga!E36)</f>
        <v>0</v>
      </c>
      <c r="F36" s="16">
        <f>SUM(Skinnskatteberg:Arboga!F36)</f>
        <v>0</v>
      </c>
      <c r="G36" s="16">
        <f>SUM(Skinnskatteberg:Arboga!G36)</f>
        <v>246856</v>
      </c>
      <c r="H36" s="16">
        <f>SUM(Skinnskatteberg:Arboga!H36)</f>
        <v>0</v>
      </c>
      <c r="I36" s="16">
        <f>SUM(Skinnskatteberg:Arboga!I36)</f>
        <v>0</v>
      </c>
      <c r="J36" s="16">
        <f>SUM(Skinnskatteberg:Arboga!J36)</f>
        <v>0</v>
      </c>
      <c r="K36" s="16">
        <f>SUM(Skinnskatteberg:Arboga!K36)</f>
        <v>0</v>
      </c>
      <c r="L36" s="16">
        <f>SUM(Skinnskatteberg:Arboga!L36)</f>
        <v>0</v>
      </c>
      <c r="M36" s="16">
        <f>SUM(Skinnskatteberg:Arboga!M36)</f>
        <v>0</v>
      </c>
      <c r="N36" s="16">
        <f>SUM(Skinnskatteberg:Arboga!N36)</f>
        <v>563647.66568265681</v>
      </c>
      <c r="O36" s="16">
        <f t="shared" si="1"/>
        <v>1122879</v>
      </c>
      <c r="P36" s="18"/>
      <c r="Q36" s="18"/>
      <c r="R36" s="3"/>
      <c r="S36" s="7"/>
      <c r="T36" s="7"/>
      <c r="U36" s="7"/>
      <c r="W36" s="44"/>
      <c r="X36" s="44"/>
    </row>
    <row r="37" spans="1:48" ht="15.75" x14ac:dyDescent="0.25">
      <c r="A37" s="5" t="s">
        <v>44</v>
      </c>
      <c r="B37" s="16">
        <f>SUM(Skinnskatteberg:Arboga!B37)</f>
        <v>785410.22509225097</v>
      </c>
      <c r="C37" s="16">
        <f>SUM(Skinnskatteberg:Arboga!C37)</f>
        <v>13</v>
      </c>
      <c r="D37" s="16">
        <f>SUM(Skinnskatteberg:Arboga!D37)</f>
        <v>0</v>
      </c>
      <c r="E37" s="16">
        <f>SUM(Skinnskatteberg:Arboga!E37)</f>
        <v>0</v>
      </c>
      <c r="F37" s="16">
        <f>SUM(Skinnskatteberg:Arboga!F37)</f>
        <v>0</v>
      </c>
      <c r="G37" s="16">
        <f>SUM(Skinnskatteberg:Arboga!G37)</f>
        <v>0</v>
      </c>
      <c r="H37" s="16">
        <f>SUM(Skinnskatteberg:Arboga!H37)</f>
        <v>0</v>
      </c>
      <c r="I37" s="16">
        <f>SUM(Skinnskatteberg:Arboga!I37)</f>
        <v>0</v>
      </c>
      <c r="J37" s="16">
        <f>SUM(Skinnskatteberg:Arboga!J37)</f>
        <v>0</v>
      </c>
      <c r="K37" s="16">
        <f>SUM(Skinnskatteberg:Arboga!K37)</f>
        <v>0</v>
      </c>
      <c r="L37" s="16">
        <f>SUM(Skinnskatteberg:Arboga!L37)</f>
        <v>0</v>
      </c>
      <c r="M37" s="16">
        <f>SUM(Skinnskatteberg:Arboga!M37)</f>
        <v>0</v>
      </c>
      <c r="N37" s="16">
        <f>SUM(Skinnskatteberg:Arboga!N37)</f>
        <v>152124</v>
      </c>
      <c r="O37" s="16">
        <f t="shared" si="1"/>
        <v>937547.22509225097</v>
      </c>
      <c r="P37" s="18"/>
      <c r="Q37" s="18"/>
      <c r="R37" s="3"/>
      <c r="S37" s="7"/>
      <c r="T37" s="7" t="s">
        <v>26</v>
      </c>
      <c r="U37" s="7" t="s">
        <v>27</v>
      </c>
      <c r="W37" s="44"/>
      <c r="X37" s="44"/>
    </row>
    <row r="38" spans="1:48" ht="16" x14ac:dyDescent="0.2">
      <c r="A38" s="5" t="s">
        <v>45</v>
      </c>
      <c r="B38" s="16">
        <f>SUM(Skinnskatteberg:Arboga!B38)</f>
        <v>0</v>
      </c>
      <c r="C38" s="16">
        <f>SUM(Skinnskatteberg:Arboga!C38)</f>
        <v>0</v>
      </c>
      <c r="D38" s="16">
        <f>SUM(Skinnskatteberg:Arboga!D38)</f>
        <v>0</v>
      </c>
      <c r="E38" s="16">
        <f>SUM(Skinnskatteberg:Arboga!E38)</f>
        <v>0</v>
      </c>
      <c r="F38" s="16">
        <f>SUM(Skinnskatteberg:Arboga!F38)</f>
        <v>0</v>
      </c>
      <c r="G38" s="16">
        <f>SUM(Skinnskatteberg:Arboga!G38)</f>
        <v>0</v>
      </c>
      <c r="H38" s="16">
        <f>SUM(Skinnskatteberg:Arboga!H38)</f>
        <v>0</v>
      </c>
      <c r="I38" s="16">
        <f>SUM(Skinnskatteberg:Arboga!I38)</f>
        <v>0</v>
      </c>
      <c r="J38" s="16">
        <f>SUM(Skinnskatteberg:Arboga!J38)</f>
        <v>0</v>
      </c>
      <c r="K38" s="16">
        <f>SUM(Skinnskatteberg:Arboga!K38)</f>
        <v>0</v>
      </c>
      <c r="L38" s="16">
        <f>SUM(Skinnskatteberg:Arboga!L38)</f>
        <v>0</v>
      </c>
      <c r="M38" s="16">
        <f>SUM(Skinnskatteberg:Arboga!M38)</f>
        <v>0</v>
      </c>
      <c r="N38" s="16">
        <f>SUM(Skinnskatteberg:Arboga!N38)</f>
        <v>54731.080442804436</v>
      </c>
      <c r="O38" s="16">
        <f t="shared" si="1"/>
        <v>54731.080442804436</v>
      </c>
      <c r="P38" s="18">
        <f>SUM(P31:P35)</f>
        <v>0.74884865865980488</v>
      </c>
      <c r="Q38" s="18"/>
      <c r="R38" s="3"/>
      <c r="S38" s="7" t="s">
        <v>46</v>
      </c>
      <c r="T38" s="19">
        <f>O45/1000</f>
        <v>568.50794888888913</v>
      </c>
      <c r="U38" s="7"/>
      <c r="W38" s="44"/>
      <c r="X38" s="44"/>
    </row>
    <row r="39" spans="1:48" ht="16" x14ac:dyDescent="0.2">
      <c r="A39" s="5" t="s">
        <v>15</v>
      </c>
      <c r="B39" s="16">
        <f>SUM(B31:B38)</f>
        <v>1938977</v>
      </c>
      <c r="C39" s="16">
        <f t="shared" ref="C39:O39" si="2">SUM(C31:C38)</f>
        <v>2731479</v>
      </c>
      <c r="D39" s="16">
        <f t="shared" si="2"/>
        <v>320815</v>
      </c>
      <c r="E39" s="16">
        <f t="shared" si="2"/>
        <v>110019.11111111111</v>
      </c>
      <c r="F39" s="16">
        <f t="shared" si="2"/>
        <v>205025</v>
      </c>
      <c r="G39" s="16">
        <f t="shared" si="2"/>
        <v>309093</v>
      </c>
      <c r="H39" s="16">
        <f t="shared" si="2"/>
        <v>54793.444444444438</v>
      </c>
      <c r="I39" s="16">
        <f t="shared" si="2"/>
        <v>0</v>
      </c>
      <c r="J39" s="16">
        <f t="shared" si="2"/>
        <v>0</v>
      </c>
      <c r="K39" s="16">
        <f t="shared" si="2"/>
        <v>0</v>
      </c>
      <c r="L39" s="16">
        <f t="shared" si="2"/>
        <v>0</v>
      </c>
      <c r="M39" s="16">
        <f t="shared" si="2"/>
        <v>0</v>
      </c>
      <c r="N39" s="16">
        <f t="shared" si="2"/>
        <v>2751642</v>
      </c>
      <c r="O39" s="16">
        <f t="shared" si="2"/>
        <v>8421843.555555556</v>
      </c>
      <c r="P39" s="3"/>
      <c r="Q39" s="3"/>
      <c r="R39" s="3"/>
      <c r="S39" s="7" t="s">
        <v>47</v>
      </c>
      <c r="T39" s="20">
        <f>O41/1000</f>
        <v>2115.1573055350559</v>
      </c>
      <c r="U39" s="14">
        <f>P41</f>
        <v>0.25115134134019507</v>
      </c>
    </row>
    <row r="40" spans="1:48" x14ac:dyDescent="0.2">
      <c r="S40" s="7" t="s">
        <v>48</v>
      </c>
      <c r="T40" s="20">
        <f>O35/1000</f>
        <v>1076.8820000000001</v>
      </c>
      <c r="U40" s="15">
        <f>P35</f>
        <v>0.12786772787884709</v>
      </c>
    </row>
    <row r="41" spans="1:48" ht="16" x14ac:dyDescent="0.2">
      <c r="A41" s="21" t="s">
        <v>49</v>
      </c>
      <c r="B41" s="22">
        <f>B38+B37+B36</f>
        <v>1096703.5594095942</v>
      </c>
      <c r="C41" s="22">
        <f t="shared" ref="C41:O41" si="3">C38+C37+C36</f>
        <v>1095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246856</v>
      </c>
      <c r="H41" s="22">
        <f t="shared" si="3"/>
        <v>0</v>
      </c>
      <c r="I41" s="22">
        <f t="shared" si="3"/>
        <v>0</v>
      </c>
      <c r="J41" s="22">
        <f t="shared" si="3"/>
        <v>0</v>
      </c>
      <c r="K41" s="22">
        <f t="shared" si="3"/>
        <v>0</v>
      </c>
      <c r="L41" s="22">
        <f t="shared" si="3"/>
        <v>0</v>
      </c>
      <c r="M41" s="22">
        <f t="shared" si="3"/>
        <v>0</v>
      </c>
      <c r="N41" s="22">
        <f t="shared" si="3"/>
        <v>770502.7461254613</v>
      </c>
      <c r="O41" s="22">
        <f t="shared" si="3"/>
        <v>2115157.3055350557</v>
      </c>
      <c r="P41" s="17">
        <f>O41/O$39</f>
        <v>0.25115134134019507</v>
      </c>
      <c r="Q41" s="17" t="s">
        <v>50</v>
      </c>
      <c r="R41" s="7"/>
      <c r="S41" s="7" t="s">
        <v>51</v>
      </c>
      <c r="T41" s="20">
        <f>O33/1000</f>
        <v>603.42569446494463</v>
      </c>
      <c r="U41" s="14">
        <f>P33</f>
        <v>7.1650071683757255E-2</v>
      </c>
    </row>
    <row r="42" spans="1:48" ht="16" x14ac:dyDescent="0.2">
      <c r="A42" s="23" t="s">
        <v>52</v>
      </c>
      <c r="B42" s="22"/>
      <c r="C42" s="24">
        <f>C39+C23+C10</f>
        <v>2755632</v>
      </c>
      <c r="D42" s="24">
        <f t="shared" ref="D42:M42" si="4">D39+D23+D10</f>
        <v>596580</v>
      </c>
      <c r="E42" s="24">
        <f t="shared" si="4"/>
        <v>110019.11111111111</v>
      </c>
      <c r="F42" s="24">
        <f t="shared" si="4"/>
        <v>260703</v>
      </c>
      <c r="G42" s="24">
        <f t="shared" si="4"/>
        <v>1248665.3333333335</v>
      </c>
      <c r="H42" s="24">
        <f t="shared" si="4"/>
        <v>55920.444444444438</v>
      </c>
      <c r="I42" s="24">
        <f t="shared" si="4"/>
        <v>0</v>
      </c>
      <c r="J42" s="24">
        <f t="shared" si="4"/>
        <v>69199</v>
      </c>
      <c r="K42" s="24">
        <f t="shared" si="4"/>
        <v>927167</v>
      </c>
      <c r="L42" s="24">
        <f t="shared" si="4"/>
        <v>159635</v>
      </c>
      <c r="M42" s="24">
        <f t="shared" si="4"/>
        <v>0</v>
      </c>
      <c r="N42" s="24">
        <f>N39+N23-B6+N45</f>
        <v>2720666.36</v>
      </c>
      <c r="O42" s="25">
        <f>SUM(C42:N42)</f>
        <v>8904187.2488888875</v>
      </c>
      <c r="P42" s="7"/>
      <c r="Q42" s="7"/>
      <c r="R42" s="7"/>
      <c r="S42" s="7" t="s">
        <v>33</v>
      </c>
      <c r="T42" s="20">
        <f>O31/1000</f>
        <v>143.364</v>
      </c>
      <c r="U42" s="14">
        <f>P31</f>
        <v>1.7022876173641156E-2</v>
      </c>
    </row>
    <row r="43" spans="1:48" ht="16" x14ac:dyDescent="0.2">
      <c r="A43" s="23" t="s">
        <v>53</v>
      </c>
      <c r="B43" s="22"/>
      <c r="C43" s="17">
        <f t="shared" ref="C43:N43" si="5">C42/$O42</f>
        <v>0.30947597158223089</v>
      </c>
      <c r="D43" s="17">
        <f t="shared" si="5"/>
        <v>6.6999938716972116E-2</v>
      </c>
      <c r="E43" s="17">
        <f t="shared" si="5"/>
        <v>1.2355884713098311E-2</v>
      </c>
      <c r="F43" s="17">
        <f t="shared" si="5"/>
        <v>2.9278696944803347E-2</v>
      </c>
      <c r="G43" s="17">
        <f t="shared" si="5"/>
        <v>0.14023349896299056</v>
      </c>
      <c r="H43" s="17">
        <f t="shared" si="5"/>
        <v>6.2802412933782919E-3</v>
      </c>
      <c r="I43" s="17">
        <f t="shared" si="5"/>
        <v>0</v>
      </c>
      <c r="J43" s="17">
        <f t="shared" si="5"/>
        <v>7.7715122184380189E-3</v>
      </c>
      <c r="K43" s="17">
        <f t="shared" si="5"/>
        <v>0.10412707797847545</v>
      </c>
      <c r="L43" s="17">
        <f t="shared" si="5"/>
        <v>1.7928082096422684E-2</v>
      </c>
      <c r="M43" s="17">
        <f t="shared" si="5"/>
        <v>0</v>
      </c>
      <c r="N43" s="17">
        <f t="shared" si="5"/>
        <v>0.30554909549319048</v>
      </c>
      <c r="O43" s="17">
        <f>SUM(C43:N43)</f>
        <v>1.0000000000000002</v>
      </c>
      <c r="P43" s="7"/>
      <c r="Q43" s="7"/>
      <c r="R43" s="7"/>
      <c r="S43" s="7" t="s">
        <v>54</v>
      </c>
      <c r="T43" s="20">
        <f>O32/1000</f>
        <v>1736.6790000000001</v>
      </c>
      <c r="U43" s="15">
        <f>P32</f>
        <v>0.20621126342989141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2746.3355555555554</v>
      </c>
      <c r="U44" s="15">
        <f>P34</f>
        <v>0.32609671949366797</v>
      </c>
    </row>
    <row r="45" spans="1:48" ht="16" x14ac:dyDescent="0.2">
      <c r="A45" s="6" t="s">
        <v>56</v>
      </c>
      <c r="B45" s="6">
        <f>B23-B39</f>
        <v>348376.58888888918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220131.36000000002</v>
      </c>
      <c r="O45" s="25">
        <f>B45+N45</f>
        <v>568507.94888888916</v>
      </c>
      <c r="P45" s="7"/>
      <c r="Q45" s="7"/>
      <c r="R45" s="7"/>
      <c r="S45" s="7" t="s">
        <v>57</v>
      </c>
      <c r="T45" s="20">
        <f>SUM(T39:T44)</f>
        <v>8421.8435555555552</v>
      </c>
      <c r="U45" s="14">
        <f>SUM(U39:U44)</f>
        <v>1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4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9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9"/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9"/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8"/>
      <c r="F56" s="28"/>
      <c r="G56" s="28"/>
      <c r="H56" s="28"/>
      <c r="I56" s="6"/>
      <c r="J56" s="28"/>
      <c r="K56" s="28"/>
      <c r="L56" s="28"/>
      <c r="M56" s="28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7"/>
      <c r="G57" s="27"/>
      <c r="H57" s="29"/>
      <c r="I57" s="9"/>
      <c r="J57" s="27"/>
      <c r="K57" s="29"/>
      <c r="L57" s="6"/>
      <c r="M57" s="6"/>
      <c r="N57" s="30"/>
      <c r="O57" s="7"/>
      <c r="P57" s="6"/>
      <c r="Q57" s="14"/>
      <c r="R57" s="7"/>
      <c r="S57" s="7"/>
      <c r="T57" s="6"/>
      <c r="U57" s="51"/>
    </row>
    <row r="58" spans="1:48" ht="16" x14ac:dyDescent="0.2">
      <c r="A58" s="7"/>
      <c r="B58" s="7"/>
      <c r="C58" s="29"/>
      <c r="D58" s="29"/>
      <c r="E58" s="29"/>
      <c r="F58" s="28"/>
      <c r="G58" s="27"/>
      <c r="H58" s="29"/>
      <c r="I58" s="9"/>
      <c r="J58" s="27"/>
      <c r="K58" s="29"/>
      <c r="L58" s="6"/>
      <c r="M58" s="6"/>
      <c r="N58" s="30"/>
      <c r="O58" s="7"/>
      <c r="P58" s="6"/>
      <c r="Q58" s="14"/>
      <c r="R58" s="7"/>
      <c r="S58" s="7"/>
      <c r="T58" s="6"/>
      <c r="U58" s="51"/>
    </row>
    <row r="59" spans="1:48" ht="16" x14ac:dyDescent="0.2">
      <c r="A59" s="7"/>
      <c r="B59" s="7"/>
      <c r="C59" s="29"/>
      <c r="D59" s="29"/>
      <c r="E59" s="29"/>
      <c r="F59" s="27"/>
      <c r="G59" s="27"/>
      <c r="H59" s="29"/>
      <c r="I59" s="9"/>
      <c r="J59" s="27"/>
      <c r="K59" s="29"/>
      <c r="L59" s="6"/>
      <c r="M59" s="6"/>
      <c r="N59" s="30"/>
      <c r="O59" s="7"/>
      <c r="P59" s="6"/>
      <c r="Q59" s="14"/>
      <c r="R59" s="7"/>
      <c r="S59" s="7"/>
      <c r="T59" s="6"/>
      <c r="U59" s="51"/>
    </row>
    <row r="60" spans="1:48" ht="16" x14ac:dyDescent="0.2">
      <c r="A60" s="23"/>
      <c r="B60" s="7"/>
      <c r="C60" s="29"/>
      <c r="D60" s="29"/>
      <c r="E60" s="29"/>
      <c r="F60" s="27"/>
      <c r="G60" s="27"/>
      <c r="H60" s="29"/>
      <c r="I60" s="9"/>
      <c r="J60" s="27"/>
      <c r="K60" s="29"/>
      <c r="L60" s="6"/>
      <c r="M60" s="6"/>
      <c r="N60" s="30"/>
      <c r="O60" s="7"/>
      <c r="P60" s="6"/>
      <c r="Q60" s="14"/>
      <c r="R60" s="7"/>
      <c r="S60" s="7"/>
      <c r="T60" s="6"/>
      <c r="U60" s="51"/>
    </row>
    <row r="61" spans="1:48" ht="16" x14ac:dyDescent="0.2">
      <c r="A61" s="7"/>
      <c r="B61" s="7"/>
      <c r="C61" s="7"/>
      <c r="D61" s="7"/>
      <c r="E61" s="7"/>
      <c r="F61" s="27"/>
      <c r="G61" s="27"/>
      <c r="H61" s="7"/>
      <c r="I61" s="9"/>
      <c r="J61" s="27"/>
      <c r="K61" s="6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27"/>
      <c r="G62" s="27"/>
      <c r="H62" s="7"/>
      <c r="I62" s="9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5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51"/>
    </row>
    <row r="65" spans="1:21" ht="16" x14ac:dyDescent="0.2">
      <c r="A65" s="7"/>
      <c r="B65" s="6"/>
      <c r="C65" s="7"/>
      <c r="D65" s="6"/>
      <c r="E65" s="52"/>
      <c r="F65" s="52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5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51"/>
    </row>
    <row r="67" spans="1:21" ht="16" x14ac:dyDescent="0.2">
      <c r="A67" s="53"/>
      <c r="B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51"/>
    </row>
    <row r="68" spans="1:21" ht="16" x14ac:dyDescent="0.2">
      <c r="D68" s="10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51"/>
    </row>
    <row r="69" spans="1:21" ht="16" x14ac:dyDescent="0.2"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51"/>
    </row>
    <row r="70" spans="1:21" ht="16" x14ac:dyDescent="0.2">
      <c r="A70" s="7"/>
      <c r="B70" s="32"/>
      <c r="C70" s="23"/>
      <c r="D70" s="23"/>
      <c r="E70" s="6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54"/>
      <c r="T70" s="32"/>
      <c r="U70" s="36"/>
    </row>
    <row r="71" spans="1:21" x14ac:dyDescent="0.2">
      <c r="C71" s="55"/>
      <c r="D71" s="55"/>
      <c r="E71" s="6"/>
    </row>
    <row r="72" spans="1:21" x14ac:dyDescent="0.2">
      <c r="E72" s="6"/>
    </row>
    <row r="73" spans="1:21" x14ac:dyDescent="0.2">
      <c r="E73" s="6"/>
    </row>
    <row r="74" spans="1:21" x14ac:dyDescent="0.2">
      <c r="D74" s="10"/>
      <c r="E74" s="10"/>
      <c r="F74" s="10"/>
    </row>
  </sheetData>
  <conditionalFormatting sqref="B12:O12">
    <cfRule type="colorScale" priority="8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O25">
    <cfRule type="colorScale" priority="7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25:N25">
    <cfRule type="colorScale" priority="6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48:O48">
    <cfRule type="colorScale" priority="5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X31:X38">
    <cfRule type="colorScale" priority="4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17:R18">
    <cfRule type="colorScale" priority="3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6:R7">
    <cfRule type="colorScale" priority="2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51">
    <cfRule type="colorScale" priority="1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pageMargins left="0.75" right="0.75" top="0.75" bottom="0.5" header="0.5" footer="0.7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61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205*0.95</f>
        <v>194.75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43">
        <v>18674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8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5"/>
      <c r="AI9" s="45"/>
    </row>
    <row r="10" spans="1:35" ht="16" x14ac:dyDescent="0.2">
      <c r="A10" s="8" t="s">
        <v>15</v>
      </c>
      <c r="B10" s="58">
        <f>SUM(B4:B9)</f>
        <v>18868.75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3"/>
      <c r="Q10" s="45"/>
      <c r="R10" s="45"/>
      <c r="S10" s="8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43">
        <v>96266</v>
      </c>
      <c r="C18" s="43">
        <v>159</v>
      </c>
      <c r="D18" s="43">
        <v>41389</v>
      </c>
      <c r="E18" s="43">
        <v>0</v>
      </c>
      <c r="F18" s="43">
        <v>1271</v>
      </c>
      <c r="G18" s="43">
        <v>65531</v>
      </c>
      <c r="H18" s="43">
        <v>0</v>
      </c>
      <c r="I18" s="43"/>
      <c r="J18" s="43"/>
      <c r="K18" s="43"/>
      <c r="L18" s="43"/>
      <c r="M18" s="43"/>
      <c r="N18" s="43"/>
      <c r="O18" s="43">
        <v>108350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43">
        <v>140113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1192.7662800000001</v>
      </c>
      <c r="U21" s="3"/>
    </row>
    <row r="22" spans="1:21" ht="16" x14ac:dyDescent="0.2">
      <c r="A22" s="8" t="s">
        <v>24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43">
        <v>236379</v>
      </c>
      <c r="C23" s="43">
        <v>159</v>
      </c>
      <c r="D23" s="43">
        <v>41389</v>
      </c>
      <c r="E23" s="43">
        <v>0</v>
      </c>
      <c r="F23" s="43">
        <v>1271</v>
      </c>
      <c r="G23" s="43">
        <v>65531</v>
      </c>
      <c r="H23" s="43">
        <v>0</v>
      </c>
      <c r="I23" s="43"/>
      <c r="J23" s="43"/>
      <c r="K23" s="43"/>
      <c r="L23" s="43"/>
      <c r="M23" s="43"/>
      <c r="N23" s="43"/>
      <c r="O23" s="43">
        <v>108350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402.66828000000004</v>
      </c>
      <c r="U24" s="14">
        <f>N43</f>
        <v>0.33759193796122405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69</v>
      </c>
      <c r="T25" s="13">
        <f>G42/1000</f>
        <v>105.151</v>
      </c>
      <c r="U25" s="15">
        <f>G43</f>
        <v>8.8157254076632677E-2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18.375</v>
      </c>
      <c r="U27" s="14">
        <f>F43</f>
        <v>1.540536508124626E-2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32.118000000000002</v>
      </c>
      <c r="U28" s="14">
        <f>E43</f>
        <v>2.6927320581195503E-2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362.20400000000001</v>
      </c>
      <c r="U29" s="47">
        <f>D43</f>
        <v>0.30366720293266508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9565</v>
      </c>
      <c r="D31" s="43">
        <v>0</v>
      </c>
      <c r="E31" s="43">
        <v>0</v>
      </c>
      <c r="F31" s="43">
        <v>936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9857</v>
      </c>
      <c r="O31" s="43">
        <v>20357</v>
      </c>
      <c r="P31" s="17">
        <f>O31/O$39</f>
        <v>1.6211661852622558E-2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111">
        <f>B39-B37-B36-B35-B33</f>
        <v>34965</v>
      </c>
      <c r="C32" s="57">
        <f>O32-N32-G32-E32-D32-B32</f>
        <v>36589</v>
      </c>
      <c r="D32" s="115">
        <v>320815</v>
      </c>
      <c r="E32" s="43">
        <v>32118</v>
      </c>
      <c r="F32" s="43">
        <v>0</v>
      </c>
      <c r="G32" s="57">
        <v>9900</v>
      </c>
      <c r="H32" s="43">
        <v>0</v>
      </c>
      <c r="I32" s="43"/>
      <c r="J32" s="43"/>
      <c r="K32" s="43"/>
      <c r="L32" s="43"/>
      <c r="M32" s="45"/>
      <c r="N32" s="57">
        <f>214059</f>
        <v>214059</v>
      </c>
      <c r="O32" s="43">
        <v>648446</v>
      </c>
      <c r="P32" s="17">
        <f>O32/O$39</f>
        <v>0.51640159560277488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111">
        <v>23897</v>
      </c>
      <c r="C33" s="43">
        <v>247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25766</v>
      </c>
      <c r="O33" s="43">
        <v>49910</v>
      </c>
      <c r="P33" s="17">
        <f>O33/O$39</f>
        <v>3.9746723145079918E-2</v>
      </c>
      <c r="Q33" s="18" t="s">
        <v>38</v>
      </c>
      <c r="R33" s="3"/>
      <c r="S33" s="3" t="s">
        <v>34</v>
      </c>
      <c r="T33" s="13">
        <f>C42/1000</f>
        <v>272.25</v>
      </c>
      <c r="U33" s="15">
        <f>C43</f>
        <v>0.22825091936703643</v>
      </c>
    </row>
    <row r="34" spans="1:48" ht="15.75" x14ac:dyDescent="0.25">
      <c r="A34" s="8" t="s">
        <v>39</v>
      </c>
      <c r="B34" s="111">
        <v>0</v>
      </c>
      <c r="C34" s="43">
        <v>219139</v>
      </c>
      <c r="D34" s="43">
        <v>0</v>
      </c>
      <c r="E34" s="43">
        <v>0</v>
      </c>
      <c r="F34" s="43">
        <v>16168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300</v>
      </c>
      <c r="O34" s="43">
        <v>235607</v>
      </c>
      <c r="P34" s="17">
        <f>O34/O$39</f>
        <v>0.18762985774479754</v>
      </c>
      <c r="Q34" s="18" t="s">
        <v>40</v>
      </c>
      <c r="R34" s="3"/>
      <c r="S34" s="3"/>
      <c r="T34" s="13">
        <f>SUM(T24:T32)</f>
        <v>920.51628000000005</v>
      </c>
      <c r="U34" s="14">
        <f>SUM(U24:U32)</f>
        <v>0.77174908063296355</v>
      </c>
    </row>
    <row r="35" spans="1:48" ht="16" x14ac:dyDescent="0.2">
      <c r="A35" s="8" t="s">
        <v>41</v>
      </c>
      <c r="B35" s="111">
        <v>25524</v>
      </c>
      <c r="C35" s="43">
        <v>6353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49161</v>
      </c>
      <c r="O35" s="43">
        <v>81038</v>
      </c>
      <c r="P35" s="17">
        <f>O35/O$39</f>
        <v>6.4536063919675146E-2</v>
      </c>
      <c r="Q35" s="18" t="s">
        <v>42</v>
      </c>
      <c r="R35" s="18"/>
    </row>
    <row r="36" spans="1:48" ht="16" x14ac:dyDescent="0.2">
      <c r="A36" s="8" t="s">
        <v>43</v>
      </c>
      <c r="B36" s="111">
        <v>24399</v>
      </c>
      <c r="C36" s="43">
        <v>185</v>
      </c>
      <c r="D36" s="43">
        <v>0</v>
      </c>
      <c r="E36" s="43">
        <v>0</v>
      </c>
      <c r="F36" s="43">
        <v>0</v>
      </c>
      <c r="G36" s="43">
        <v>29720</v>
      </c>
      <c r="H36" s="43">
        <v>0</v>
      </c>
      <c r="I36" s="43"/>
      <c r="J36" s="43"/>
      <c r="K36" s="43"/>
      <c r="L36" s="43"/>
      <c r="M36" s="45"/>
      <c r="N36" s="43">
        <v>55255</v>
      </c>
      <c r="O36" s="43">
        <v>109559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111">
        <v>92328</v>
      </c>
      <c r="C37" s="43">
        <v>13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12367</v>
      </c>
      <c r="O37" s="43">
        <v>104708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111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43">
        <v>6076</v>
      </c>
      <c r="O38" s="43">
        <v>6076</v>
      </c>
      <c r="P38" s="18">
        <f>SUM(P31:P35)</f>
        <v>0.82452590226495004</v>
      </c>
      <c r="Q38" s="18"/>
      <c r="R38" s="3"/>
      <c r="S38" s="7" t="s">
        <v>46</v>
      </c>
      <c r="T38" s="19">
        <f>O45/1000</f>
        <v>65.093279999999993</v>
      </c>
      <c r="U38" s="7"/>
    </row>
    <row r="39" spans="1:48" ht="16" x14ac:dyDescent="0.2">
      <c r="A39" s="8" t="s">
        <v>15</v>
      </c>
      <c r="B39" s="111">
        <v>201113</v>
      </c>
      <c r="C39" s="57">
        <f>SUM(C31:C38)</f>
        <v>272091</v>
      </c>
      <c r="D39" s="115">
        <f>SUM(D31:D38)</f>
        <v>320815</v>
      </c>
      <c r="E39" s="43">
        <v>32118</v>
      </c>
      <c r="F39" s="43">
        <v>17104</v>
      </c>
      <c r="G39" s="57">
        <f>SUM(G31:G38)</f>
        <v>39620</v>
      </c>
      <c r="H39" s="43">
        <v>0</v>
      </c>
      <c r="I39" s="43"/>
      <c r="J39" s="43"/>
      <c r="K39" s="43"/>
      <c r="L39" s="43"/>
      <c r="M39" s="45"/>
      <c r="N39" s="57">
        <f>SUM(N31:N38)</f>
        <v>372841</v>
      </c>
      <c r="O39" s="43">
        <v>1255701</v>
      </c>
      <c r="P39" s="3"/>
      <c r="Q39" s="3"/>
      <c r="R39" s="3"/>
      <c r="S39" s="7" t="s">
        <v>47</v>
      </c>
      <c r="T39" s="20">
        <f>O41/1000</f>
        <v>220.34299999999999</v>
      </c>
      <c r="U39" s="14">
        <f>P41</f>
        <v>0.17547409773504999</v>
      </c>
    </row>
    <row r="40" spans="1:48" x14ac:dyDescent="0.2">
      <c r="B40" s="10"/>
      <c r="O40" s="10"/>
      <c r="S40" s="7" t="s">
        <v>48</v>
      </c>
      <c r="T40" s="20">
        <f>O35/1000</f>
        <v>81.037999999999997</v>
      </c>
      <c r="U40" s="15">
        <f>P35</f>
        <v>6.4536063919675146E-2</v>
      </c>
    </row>
    <row r="41" spans="1:48" ht="16" x14ac:dyDescent="0.2">
      <c r="A41" s="21" t="s">
        <v>49</v>
      </c>
      <c r="B41" s="22">
        <f>B38+B37+B36</f>
        <v>116727</v>
      </c>
      <c r="C41" s="22">
        <f t="shared" ref="C41:O41" si="0">C38+C37+C36</f>
        <v>198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29720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73698</v>
      </c>
      <c r="O41" s="22">
        <f t="shared" si="0"/>
        <v>220343</v>
      </c>
      <c r="P41" s="17">
        <f>O41/O$39</f>
        <v>0.17547409773504999</v>
      </c>
      <c r="Q41" s="17" t="s">
        <v>50</v>
      </c>
      <c r="R41" s="7"/>
      <c r="S41" s="7" t="s">
        <v>51</v>
      </c>
      <c r="T41" s="20">
        <f>O33/1000</f>
        <v>49.91</v>
      </c>
      <c r="U41" s="14">
        <f>P33</f>
        <v>3.9746723145079918E-2</v>
      </c>
    </row>
    <row r="42" spans="1:48" ht="16" x14ac:dyDescent="0.2">
      <c r="A42" s="23" t="s">
        <v>52</v>
      </c>
      <c r="B42" s="22"/>
      <c r="C42" s="24">
        <f>C39+C23+C10</f>
        <v>272250</v>
      </c>
      <c r="D42" s="24">
        <f t="shared" ref="D42:M42" si="1">D39+D23+D10</f>
        <v>362204</v>
      </c>
      <c r="E42" s="24">
        <f t="shared" si="1"/>
        <v>32118</v>
      </c>
      <c r="F42" s="24">
        <f t="shared" si="1"/>
        <v>18375</v>
      </c>
      <c r="G42" s="24">
        <f t="shared" si="1"/>
        <v>105151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402668.28</v>
      </c>
      <c r="O42" s="25">
        <f>SUM(C42:N42)</f>
        <v>1192766.28</v>
      </c>
      <c r="P42" s="7"/>
      <c r="Q42" s="7"/>
      <c r="R42" s="7"/>
      <c r="S42" s="7" t="s">
        <v>33</v>
      </c>
      <c r="T42" s="20">
        <f>O31/1000</f>
        <v>20.356999999999999</v>
      </c>
      <c r="U42" s="14">
        <f>P31</f>
        <v>1.6211661852622558E-2</v>
      </c>
    </row>
    <row r="43" spans="1:48" ht="16" x14ac:dyDescent="0.2">
      <c r="A43" s="23" t="s">
        <v>53</v>
      </c>
      <c r="B43" s="22"/>
      <c r="C43" s="17">
        <f t="shared" ref="C43:N43" si="2">C42/$O42</f>
        <v>0.22825091936703643</v>
      </c>
      <c r="D43" s="17">
        <f t="shared" si="2"/>
        <v>0.30366720293266508</v>
      </c>
      <c r="E43" s="17">
        <f t="shared" si="2"/>
        <v>2.6927320581195503E-2</v>
      </c>
      <c r="F43" s="17">
        <f t="shared" si="2"/>
        <v>1.540536508124626E-2</v>
      </c>
      <c r="G43" s="17">
        <f t="shared" si="2"/>
        <v>8.8157254076632677E-2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0.33759193796122405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648.44600000000003</v>
      </c>
      <c r="U43" s="15">
        <f>P32</f>
        <v>0.51640159560277488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235.607</v>
      </c>
      <c r="U44" s="15">
        <f>P34</f>
        <v>0.18762985774479754</v>
      </c>
    </row>
    <row r="45" spans="1:48" ht="16" x14ac:dyDescent="0.2">
      <c r="A45" s="6" t="s">
        <v>56</v>
      </c>
      <c r="B45" s="6">
        <f>B23-B39</f>
        <v>35266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29827.279999999999</v>
      </c>
      <c r="O45" s="25">
        <f>B45+N45</f>
        <v>65093.279999999999</v>
      </c>
      <c r="P45" s="7"/>
      <c r="Q45" s="7"/>
      <c r="R45" s="7"/>
      <c r="S45" s="7" t="s">
        <v>57</v>
      </c>
      <c r="T45" s="20">
        <f>SUM(T39:T44)</f>
        <v>1255.701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27"/>
      <c r="C48" s="27"/>
      <c r="D48" s="27"/>
      <c r="E48" s="28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3"/>
      <c r="C50" s="43"/>
      <c r="D50" s="43"/>
      <c r="E50" s="43"/>
      <c r="F50" s="43"/>
      <c r="G50" s="5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4"/>
      <c r="B52" s="4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4"/>
      <c r="B53" s="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4"/>
      <c r="B54" s="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27"/>
      <c r="B55" s="4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43"/>
      <c r="Q55" s="43"/>
      <c r="R55" s="43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E56" s="9"/>
      <c r="F56" s="9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E57" s="9"/>
      <c r="F57" s="9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1"/>
    </row>
    <row r="58" spans="1:48" ht="16" x14ac:dyDescent="0.2">
      <c r="A58" s="5"/>
      <c r="B58" s="7"/>
      <c r="C58" s="29"/>
      <c r="D58" s="29"/>
      <c r="E58" s="9"/>
      <c r="F58" s="16"/>
      <c r="G58" s="9"/>
      <c r="H58" s="9"/>
      <c r="I58" s="9"/>
      <c r="J58" s="9"/>
      <c r="K58" s="9"/>
      <c r="L58" s="9"/>
      <c r="M58" s="27"/>
      <c r="N58" s="9"/>
      <c r="O58" s="9"/>
      <c r="P58" s="27"/>
      <c r="Q58" s="27"/>
      <c r="R58" s="4"/>
      <c r="S58" s="7"/>
      <c r="T58" s="6"/>
      <c r="U58" s="31"/>
    </row>
    <row r="59" spans="1:48" ht="16" x14ac:dyDescent="0.2">
      <c r="A59" s="5"/>
      <c r="C59" s="6"/>
      <c r="D59" s="6"/>
      <c r="E59" s="9"/>
      <c r="F59" s="16"/>
      <c r="G59" s="9"/>
      <c r="H59" s="9"/>
      <c r="I59" s="9"/>
      <c r="J59" s="9"/>
      <c r="K59" s="9"/>
      <c r="L59" s="9"/>
      <c r="M59" s="27"/>
      <c r="N59" s="9"/>
      <c r="O59" s="9"/>
      <c r="P59" s="27"/>
      <c r="Q59" s="27"/>
      <c r="R59" s="4"/>
      <c r="S59" s="7"/>
      <c r="T59" s="6"/>
      <c r="U59" s="31"/>
    </row>
    <row r="60" spans="1:48" ht="16" x14ac:dyDescent="0.2">
      <c r="A60" s="5"/>
      <c r="B60" s="113"/>
      <c r="C60" s="6"/>
      <c r="D60" s="6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7"/>
      <c r="T60" s="6"/>
      <c r="U60" s="31"/>
    </row>
    <row r="61" spans="1:48" ht="16" x14ac:dyDescent="0.2">
      <c r="A61" s="5"/>
      <c r="B61" s="113"/>
      <c r="C61" s="6"/>
      <c r="D61" s="32"/>
      <c r="E61" s="29"/>
      <c r="F61" s="29"/>
      <c r="G61" s="29"/>
      <c r="H61" s="29"/>
      <c r="I61" s="29"/>
      <c r="J61" s="29"/>
      <c r="K61" s="29"/>
      <c r="L61" s="6"/>
      <c r="M61" s="30"/>
      <c r="N61" s="7"/>
      <c r="O61" s="6"/>
      <c r="P61" s="14"/>
      <c r="Q61" s="7"/>
      <c r="R61" s="7"/>
      <c r="S61" s="7"/>
      <c r="T61" s="32"/>
      <c r="U61" s="33"/>
    </row>
    <row r="62" spans="1:48" ht="16" x14ac:dyDescent="0.2">
      <c r="A62" s="5"/>
      <c r="B62" s="113"/>
      <c r="C62" s="6"/>
      <c r="E62" s="29"/>
      <c r="F62" s="29"/>
      <c r="G62" s="29"/>
      <c r="H62" s="29"/>
      <c r="I62" s="29"/>
      <c r="J62" s="29"/>
      <c r="K62" s="29"/>
      <c r="L62" s="6"/>
      <c r="M62" s="30"/>
      <c r="N62" s="7"/>
      <c r="O62" s="6"/>
      <c r="P62" s="14"/>
      <c r="Q62" s="7"/>
      <c r="R62" s="7"/>
      <c r="S62" s="7"/>
      <c r="T62" s="7"/>
      <c r="U62" s="6"/>
    </row>
    <row r="63" spans="1:48" ht="16" x14ac:dyDescent="0.2">
      <c r="A63" s="5"/>
      <c r="B63" s="113"/>
      <c r="C63" s="6"/>
      <c r="E63" s="29"/>
      <c r="F63" s="29"/>
      <c r="G63" s="29"/>
      <c r="H63" s="29"/>
      <c r="I63" s="29"/>
      <c r="J63" s="29"/>
      <c r="K63" s="29"/>
      <c r="L63" s="6"/>
      <c r="M63" s="30"/>
      <c r="N63" s="7"/>
      <c r="O63" s="6"/>
      <c r="P63" s="14"/>
      <c r="Q63" s="7"/>
      <c r="R63" s="7"/>
      <c r="S63" s="7"/>
      <c r="T63" s="34"/>
      <c r="U63" s="35"/>
    </row>
    <row r="64" spans="1:48" ht="16" x14ac:dyDescent="0.2">
      <c r="A64" s="5"/>
      <c r="B64" s="113"/>
      <c r="C64" s="6"/>
      <c r="D64" s="10"/>
      <c r="E64" s="7"/>
      <c r="F64" s="7"/>
      <c r="G64" s="7"/>
      <c r="H64" s="7"/>
      <c r="I64" s="7"/>
      <c r="J64" s="7"/>
      <c r="K64" s="7"/>
      <c r="L64" s="6"/>
      <c r="M64" s="30"/>
      <c r="N64" s="7"/>
      <c r="O64" s="6"/>
      <c r="P64" s="14"/>
      <c r="Q64" s="7"/>
      <c r="R64" s="7"/>
      <c r="S64" s="7"/>
      <c r="T64" s="6"/>
      <c r="U64" s="31"/>
    </row>
    <row r="65" spans="1:21" ht="16" x14ac:dyDescent="0.2">
      <c r="C65" s="10"/>
      <c r="E65" s="34"/>
      <c r="F65" s="34"/>
      <c r="G65" s="34"/>
      <c r="H65" s="34"/>
      <c r="I65" s="34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67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49*0.95</f>
        <v>46.55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43">
        <v>15745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8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5"/>
      <c r="AI9" s="45"/>
    </row>
    <row r="10" spans="1:35" ht="16" x14ac:dyDescent="0.2">
      <c r="A10" s="8" t="s">
        <v>15</v>
      </c>
      <c r="B10" s="58">
        <f>SUM(B4:B9)</f>
        <v>15791.55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3"/>
      <c r="Q10" s="45"/>
      <c r="R10" s="45"/>
      <c r="S10" s="8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8">
        <v>103000</v>
      </c>
      <c r="C18" s="60">
        <v>0</v>
      </c>
      <c r="D18" s="43">
        <v>0</v>
      </c>
      <c r="E18" s="43">
        <v>0</v>
      </c>
      <c r="F18" s="60">
        <v>2200</v>
      </c>
      <c r="G18" s="60">
        <v>100400</v>
      </c>
      <c r="H18" s="43">
        <v>0</v>
      </c>
      <c r="I18" s="43"/>
      <c r="J18" s="43"/>
      <c r="K18" s="43"/>
      <c r="L18" s="43"/>
      <c r="M18" s="43"/>
      <c r="N18" s="111">
        <v>0</v>
      </c>
      <c r="O18" s="60">
        <f>SUM(C18:N18)</f>
        <v>102600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43">
        <v>61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501.45967999999999</v>
      </c>
      <c r="U21" s="3"/>
    </row>
    <row r="22" spans="1:21" ht="16" x14ac:dyDescent="0.2">
      <c r="A22" s="8" t="s">
        <v>24</v>
      </c>
      <c r="B22" s="58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58">
        <f>SUM(B17:B22)</f>
        <v>103061</v>
      </c>
      <c r="C23" s="60">
        <f>SUM(C17:C22)</f>
        <v>0</v>
      </c>
      <c r="D23" s="43">
        <v>0</v>
      </c>
      <c r="E23" s="43">
        <v>0</v>
      </c>
      <c r="F23" s="60">
        <f>SUM(F17:F22)</f>
        <v>2200</v>
      </c>
      <c r="G23" s="60">
        <f>SUM(G17:G22)</f>
        <v>100400</v>
      </c>
      <c r="H23" s="43">
        <v>0</v>
      </c>
      <c r="I23" s="43"/>
      <c r="J23" s="43"/>
      <c r="K23" s="43"/>
      <c r="L23" s="43"/>
      <c r="M23" s="43"/>
      <c r="N23" s="111">
        <f>SUM(N18:N22)</f>
        <v>0</v>
      </c>
      <c r="O23" s="60">
        <f>SUM(O17:O22)</f>
        <v>102600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135.77867999999998</v>
      </c>
      <c r="U24" s="14">
        <f>N43</f>
        <v>0.27076689396044762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9"/>
      <c r="P25" s="3"/>
      <c r="Q25" s="3"/>
      <c r="R25" s="3"/>
      <c r="S25" s="3" t="s">
        <v>69</v>
      </c>
      <c r="T25" s="13">
        <f>G42/1000</f>
        <v>119.61799999999999</v>
      </c>
      <c r="U25" s="15">
        <f>G43</f>
        <v>0.23853961698376228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21</v>
      </c>
      <c r="U27" s="14">
        <f>F43</f>
        <v>4.1877743789889552E-2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1.276</v>
      </c>
      <c r="U28" s="14">
        <f>E43</f>
        <v>2.5445714798047175E-3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0</v>
      </c>
      <c r="U29" s="47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6757</v>
      </c>
      <c r="D31" s="43">
        <v>0</v>
      </c>
      <c r="E31" s="43">
        <v>0</v>
      </c>
      <c r="F31" s="43">
        <v>682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4753</v>
      </c>
      <c r="O31" s="43">
        <v>12191</v>
      </c>
      <c r="P31" s="17">
        <f>O31/O$39</f>
        <v>2.5479291152785875E-2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43">
        <v>4449</v>
      </c>
      <c r="C32" s="43">
        <v>1153</v>
      </c>
      <c r="D32" s="43">
        <v>0</v>
      </c>
      <c r="E32" s="57">
        <f>O32-N32-G32-C32-B32</f>
        <v>1276</v>
      </c>
      <c r="F32" s="43">
        <v>0</v>
      </c>
      <c r="G32" s="43">
        <v>87</v>
      </c>
      <c r="H32" s="43">
        <v>0</v>
      </c>
      <c r="I32" s="43"/>
      <c r="J32" s="43"/>
      <c r="K32" s="43"/>
      <c r="L32" s="43"/>
      <c r="M32" s="45"/>
      <c r="N32" s="57">
        <v>29806</v>
      </c>
      <c r="O32" s="57">
        <f>O39-O38-O37-O36-O35-O34-O33-O31</f>
        <v>36771</v>
      </c>
      <c r="P32" s="17">
        <f>O32/O$39</f>
        <v>7.685169510122955E-2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43">
        <v>11285</v>
      </c>
      <c r="C33" s="43">
        <v>239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16309</v>
      </c>
      <c r="O33" s="43">
        <v>27833</v>
      </c>
      <c r="P33" s="17">
        <f>O33/O$39</f>
        <v>5.8171200939667732E-2</v>
      </c>
      <c r="Q33" s="18" t="s">
        <v>38</v>
      </c>
      <c r="R33" s="3"/>
      <c r="S33" s="3" t="s">
        <v>34</v>
      </c>
      <c r="T33" s="13">
        <f>C42/1000</f>
        <v>223.78700000000001</v>
      </c>
      <c r="U33" s="15">
        <f>C43</f>
        <v>0.44627117378609582</v>
      </c>
    </row>
    <row r="34" spans="1:48" ht="15.75" x14ac:dyDescent="0.25">
      <c r="A34" s="8" t="s">
        <v>39</v>
      </c>
      <c r="B34" s="43">
        <v>0</v>
      </c>
      <c r="C34" s="43">
        <v>214497</v>
      </c>
      <c r="D34" s="43">
        <v>0</v>
      </c>
      <c r="E34" s="43">
        <v>0</v>
      </c>
      <c r="F34" s="43">
        <v>18119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287</v>
      </c>
      <c r="O34" s="43">
        <v>232903</v>
      </c>
      <c r="P34" s="17">
        <f>O34/O$39</f>
        <v>0.48676920247373384</v>
      </c>
      <c r="Q34" s="18" t="s">
        <v>40</v>
      </c>
      <c r="R34" s="3"/>
      <c r="S34" s="3"/>
      <c r="T34" s="13">
        <f>SUM(T24:T32)</f>
        <v>277.67267999999996</v>
      </c>
      <c r="U34" s="14">
        <f>SUM(U24:U32)</f>
        <v>0.55372882621390407</v>
      </c>
    </row>
    <row r="35" spans="1:48" ht="16" x14ac:dyDescent="0.2">
      <c r="A35" s="8" t="s">
        <v>41</v>
      </c>
      <c r="B35" s="43">
        <v>18916</v>
      </c>
      <c r="C35" s="43">
        <v>1095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25558</v>
      </c>
      <c r="O35" s="43">
        <v>45569</v>
      </c>
      <c r="P35" s="17">
        <f>O35/O$39</f>
        <v>9.5239588101164757E-2</v>
      </c>
      <c r="Q35" s="18" t="s">
        <v>42</v>
      </c>
      <c r="R35" s="18"/>
    </row>
    <row r="36" spans="1:48" ht="16" x14ac:dyDescent="0.2">
      <c r="A36" s="8" t="s">
        <v>43</v>
      </c>
      <c r="B36" s="43">
        <v>10807</v>
      </c>
      <c r="C36" s="43">
        <v>47</v>
      </c>
      <c r="D36" s="43">
        <v>0</v>
      </c>
      <c r="E36" s="43">
        <v>0</v>
      </c>
      <c r="F36" s="43">
        <v>0</v>
      </c>
      <c r="G36" s="43">
        <v>19131</v>
      </c>
      <c r="H36" s="43">
        <v>0</v>
      </c>
      <c r="I36" s="43"/>
      <c r="J36" s="43"/>
      <c r="K36" s="43"/>
      <c r="L36" s="43"/>
      <c r="M36" s="45"/>
      <c r="N36" s="43">
        <v>38916</v>
      </c>
      <c r="O36" s="43">
        <v>68901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43">
        <v>44207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6503</v>
      </c>
      <c r="O37" s="43">
        <v>50710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57">
        <v>3589</v>
      </c>
      <c r="O38" s="57">
        <f>SUM(B38:N38)</f>
        <v>3589</v>
      </c>
      <c r="P38" s="18">
        <f>SUM(P31:P35)</f>
        <v>0.74251097776858177</v>
      </c>
      <c r="Q38" s="18"/>
      <c r="R38" s="3"/>
      <c r="S38" s="7" t="s">
        <v>46</v>
      </c>
      <c r="T38" s="19">
        <f>O45/1000</f>
        <v>23.45468</v>
      </c>
      <c r="U38" s="7"/>
    </row>
    <row r="39" spans="1:48" ht="16" x14ac:dyDescent="0.2">
      <c r="A39" s="8" t="s">
        <v>15</v>
      </c>
      <c r="B39" s="43">
        <v>89664</v>
      </c>
      <c r="C39" s="43">
        <v>223787</v>
      </c>
      <c r="D39" s="43">
        <v>0</v>
      </c>
      <c r="E39" s="57">
        <f>SUM(E31:E38)</f>
        <v>1276</v>
      </c>
      <c r="F39" s="43">
        <v>18800</v>
      </c>
      <c r="G39" s="43">
        <v>19218</v>
      </c>
      <c r="H39" s="43">
        <v>0</v>
      </c>
      <c r="I39" s="43"/>
      <c r="J39" s="43"/>
      <c r="K39" s="43"/>
      <c r="L39" s="43"/>
      <c r="M39" s="45"/>
      <c r="N39" s="57">
        <f>SUM(N31:N38)</f>
        <v>125721</v>
      </c>
      <c r="O39" s="43">
        <v>478467</v>
      </c>
      <c r="P39" s="3"/>
      <c r="Q39" s="3"/>
      <c r="R39" s="3"/>
      <c r="S39" s="7" t="s">
        <v>47</v>
      </c>
      <c r="T39" s="20">
        <f>O41/1000</f>
        <v>123.2</v>
      </c>
      <c r="U39" s="14">
        <f>P41</f>
        <v>0.25748902223141829</v>
      </c>
    </row>
    <row r="40" spans="1:48" x14ac:dyDescent="0.2">
      <c r="O40" s="10"/>
      <c r="S40" s="7" t="s">
        <v>48</v>
      </c>
      <c r="T40" s="20">
        <f>O35/1000</f>
        <v>45.569000000000003</v>
      </c>
      <c r="U40" s="15">
        <f>P35</f>
        <v>9.5239588101164757E-2</v>
      </c>
    </row>
    <row r="41" spans="1:48" ht="16" x14ac:dyDescent="0.2">
      <c r="A41" s="21" t="s">
        <v>49</v>
      </c>
      <c r="B41" s="22">
        <f>B38+B37+B36</f>
        <v>55014</v>
      </c>
      <c r="C41" s="22">
        <f t="shared" ref="C41:O41" si="0">C38+C37+C36</f>
        <v>47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19131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49008</v>
      </c>
      <c r="O41" s="22">
        <f t="shared" si="0"/>
        <v>123200</v>
      </c>
      <c r="P41" s="17">
        <f>O41/O$39</f>
        <v>0.25748902223141829</v>
      </c>
      <c r="Q41" s="17" t="s">
        <v>50</v>
      </c>
      <c r="R41" s="7"/>
      <c r="S41" s="7" t="s">
        <v>51</v>
      </c>
      <c r="T41" s="20">
        <f>O33/1000</f>
        <v>27.832999999999998</v>
      </c>
      <c r="U41" s="14">
        <f>P33</f>
        <v>5.8171200939667732E-2</v>
      </c>
    </row>
    <row r="42" spans="1:48" ht="16" x14ac:dyDescent="0.2">
      <c r="A42" s="23" t="s">
        <v>52</v>
      </c>
      <c r="B42" s="22"/>
      <c r="C42" s="24">
        <f>C39+C23+C10</f>
        <v>223787</v>
      </c>
      <c r="D42" s="24">
        <f t="shared" ref="D42:M42" si="1">D39+D23+D10</f>
        <v>0</v>
      </c>
      <c r="E42" s="24">
        <f t="shared" si="1"/>
        <v>1276</v>
      </c>
      <c r="F42" s="24">
        <f t="shared" si="1"/>
        <v>21000</v>
      </c>
      <c r="G42" s="24">
        <f t="shared" si="1"/>
        <v>119618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135778.68</v>
      </c>
      <c r="O42" s="25">
        <f>SUM(C42:N42)</f>
        <v>501459.68</v>
      </c>
      <c r="P42" s="7"/>
      <c r="Q42" s="7"/>
      <c r="R42" s="7"/>
      <c r="S42" s="7" t="s">
        <v>33</v>
      </c>
      <c r="T42" s="20">
        <f>O31/1000</f>
        <v>12.191000000000001</v>
      </c>
      <c r="U42" s="14">
        <f>P31</f>
        <v>2.5479291152785875E-2</v>
      </c>
    </row>
    <row r="43" spans="1:48" ht="16" x14ac:dyDescent="0.2">
      <c r="A43" s="23" t="s">
        <v>53</v>
      </c>
      <c r="B43" s="22"/>
      <c r="C43" s="17">
        <f t="shared" ref="C43:N43" si="2">C42/$O42</f>
        <v>0.44627117378609582</v>
      </c>
      <c r="D43" s="17">
        <f t="shared" si="2"/>
        <v>0</v>
      </c>
      <c r="E43" s="17">
        <f t="shared" si="2"/>
        <v>2.5445714798047175E-3</v>
      </c>
      <c r="F43" s="17">
        <f t="shared" si="2"/>
        <v>4.1877743789889552E-2</v>
      </c>
      <c r="G43" s="17">
        <f t="shared" si="2"/>
        <v>0.23853961698376228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0.27076689396044762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36.771000000000001</v>
      </c>
      <c r="U43" s="15">
        <f>P32</f>
        <v>7.685169510122955E-2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232.90299999999999</v>
      </c>
      <c r="U44" s="15">
        <f>P34</f>
        <v>0.48676920247373384</v>
      </c>
    </row>
    <row r="45" spans="1:48" ht="16" x14ac:dyDescent="0.2">
      <c r="A45" s="6" t="s">
        <v>56</v>
      </c>
      <c r="B45" s="6">
        <f>B23-B39</f>
        <v>13397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10057.68</v>
      </c>
      <c r="O45" s="25">
        <f>B45+N45</f>
        <v>23454.68</v>
      </c>
      <c r="P45" s="7"/>
      <c r="Q45" s="7"/>
      <c r="R45" s="7"/>
      <c r="S45" s="7" t="s">
        <v>57</v>
      </c>
      <c r="T45" s="20">
        <f>SUM(T39:T44)</f>
        <v>478.46699999999998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62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8*0.95</f>
        <v>7.6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43">
        <v>14633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8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5"/>
      <c r="AI9" s="45"/>
    </row>
    <row r="10" spans="1:35" ht="16" x14ac:dyDescent="0.2">
      <c r="A10" s="8" t="s">
        <v>15</v>
      </c>
      <c r="B10" s="58">
        <f>SUM(B4:B9)</f>
        <v>14640.6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3"/>
      <c r="Q10" s="45"/>
      <c r="R10" s="45"/>
      <c r="S10" s="8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60">
        <v>14600</v>
      </c>
      <c r="C18" s="43">
        <v>0</v>
      </c>
      <c r="D18" s="43">
        <v>0</v>
      </c>
      <c r="E18" s="43">
        <v>0</v>
      </c>
      <c r="F18" s="43">
        <v>0</v>
      </c>
      <c r="G18" s="58">
        <f>B18/(15000/16000)</f>
        <v>15573.333333333334</v>
      </c>
      <c r="H18" s="43">
        <v>0</v>
      </c>
      <c r="I18" s="43"/>
      <c r="J18" s="43"/>
      <c r="K18" s="43"/>
      <c r="L18" s="43"/>
      <c r="M18" s="43"/>
      <c r="N18" s="43"/>
      <c r="O18" s="58">
        <f>SUM(C18:N18)</f>
        <v>15573.333333333334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139.61197333333334</v>
      </c>
      <c r="U21" s="3"/>
    </row>
    <row r="22" spans="1:21" ht="16" x14ac:dyDescent="0.2">
      <c r="A22" s="8" t="s">
        <v>24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60">
        <f>SUM(B17:B22)</f>
        <v>14600</v>
      </c>
      <c r="C23" s="43">
        <v>0</v>
      </c>
      <c r="D23" s="43">
        <v>0</v>
      </c>
      <c r="E23" s="43">
        <v>0</v>
      </c>
      <c r="F23" s="43">
        <v>0</v>
      </c>
      <c r="G23" s="58">
        <f>SUM(G17:G22)</f>
        <v>15573.333333333334</v>
      </c>
      <c r="H23" s="43">
        <v>0</v>
      </c>
      <c r="I23" s="43"/>
      <c r="J23" s="43"/>
      <c r="K23" s="43"/>
      <c r="L23" s="43"/>
      <c r="M23" s="43"/>
      <c r="N23" s="43"/>
      <c r="O23" s="58">
        <f>SUM(O18:O22)</f>
        <v>15573.333333333334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10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71.720640000000003</v>
      </c>
      <c r="U24" s="14">
        <f>N43</f>
        <v>0.5137141055141593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69</v>
      </c>
      <c r="T25" s="13">
        <f>G42/1000</f>
        <v>33.222333333333339</v>
      </c>
      <c r="U25" s="15">
        <f>G43</f>
        <v>0.23796192074452452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2.278</v>
      </c>
      <c r="U27" s="14">
        <f>F43</f>
        <v>1.6316652115224501E-2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2.2240000000000002</v>
      </c>
      <c r="U28" s="14">
        <f>E43</f>
        <v>1.5929865805206011E-2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0</v>
      </c>
      <c r="U29" s="47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778</v>
      </c>
      <c r="D31" s="43">
        <v>0</v>
      </c>
      <c r="E31" s="43">
        <v>0</v>
      </c>
      <c r="F31" s="43">
        <v>80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1625</v>
      </c>
      <c r="O31" s="43">
        <v>2483</v>
      </c>
      <c r="P31" s="17">
        <f>O31/O$39</f>
        <v>1.8721960414703111E-2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43">
        <v>0</v>
      </c>
      <c r="C32" s="57">
        <f>C39-C34-C31</f>
        <v>193</v>
      </c>
      <c r="D32" s="43">
        <v>0</v>
      </c>
      <c r="E32" s="57">
        <v>2224</v>
      </c>
      <c r="F32" s="43">
        <v>0</v>
      </c>
      <c r="G32" s="43">
        <v>765</v>
      </c>
      <c r="H32" s="43">
        <v>0</v>
      </c>
      <c r="I32" s="43"/>
      <c r="J32" s="43"/>
      <c r="K32" s="43"/>
      <c r="L32" s="43"/>
      <c r="M32" s="45"/>
      <c r="N32" s="57">
        <v>23474</v>
      </c>
      <c r="O32" s="57">
        <f>SUM(B32:N32)</f>
        <v>26656</v>
      </c>
      <c r="P32" s="17">
        <f>O32/O$39</f>
        <v>0.20098774740810557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7926</v>
      </c>
      <c r="O33" s="43">
        <v>7926</v>
      </c>
      <c r="P33" s="17">
        <f>O33/O$39</f>
        <v>5.976248821866164E-2</v>
      </c>
      <c r="Q33" s="18" t="s">
        <v>38</v>
      </c>
      <c r="R33" s="3"/>
      <c r="S33" s="3" t="s">
        <v>34</v>
      </c>
      <c r="T33" s="13">
        <f>C42/1000</f>
        <v>30.167000000000002</v>
      </c>
      <c r="U33" s="15">
        <f>C43</f>
        <v>0.21607745582088567</v>
      </c>
    </row>
    <row r="34" spans="1:48" ht="15.75" x14ac:dyDescent="0.25">
      <c r="A34" s="8" t="s">
        <v>39</v>
      </c>
      <c r="B34" s="43">
        <v>0</v>
      </c>
      <c r="C34" s="43">
        <v>29196</v>
      </c>
      <c r="D34" s="43">
        <v>0</v>
      </c>
      <c r="E34" s="43">
        <v>0</v>
      </c>
      <c r="F34" s="43">
        <v>2197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9</v>
      </c>
      <c r="O34" s="43">
        <v>31402</v>
      </c>
      <c r="P34" s="17">
        <f>O34/O$39</f>
        <v>0.23677285579641846</v>
      </c>
      <c r="Q34" s="18" t="s">
        <v>40</v>
      </c>
      <c r="R34" s="3"/>
      <c r="S34" s="3"/>
      <c r="T34" s="13">
        <f>SUM(T24:T32)</f>
        <v>109.44497333333335</v>
      </c>
      <c r="U34" s="14">
        <f>SUM(U24:U32)</f>
        <v>0.78392254417911433</v>
      </c>
    </row>
    <row r="35" spans="1:48" ht="16" x14ac:dyDescent="0.2">
      <c r="A35" s="8" t="s">
        <v>41</v>
      </c>
      <c r="B35" s="60">
        <f>B39-B37-B36</f>
        <v>2000</v>
      </c>
      <c r="C35" s="57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5941</v>
      </c>
      <c r="O35" s="57">
        <f>SUM(B35:N35)</f>
        <v>7941</v>
      </c>
      <c r="P35" s="17">
        <f>O35/O$39</f>
        <v>5.9875589066917999E-2</v>
      </c>
      <c r="Q35" s="18" t="s">
        <v>42</v>
      </c>
      <c r="R35" s="18"/>
    </row>
    <row r="36" spans="1:48" ht="16" x14ac:dyDescent="0.2">
      <c r="A36" s="8" t="s">
        <v>43</v>
      </c>
      <c r="B36" s="60">
        <v>200</v>
      </c>
      <c r="C36" s="43">
        <v>0</v>
      </c>
      <c r="D36" s="43">
        <v>0</v>
      </c>
      <c r="E36" s="43">
        <v>0</v>
      </c>
      <c r="F36" s="43">
        <v>0</v>
      </c>
      <c r="G36" s="43">
        <v>16884</v>
      </c>
      <c r="H36" s="43">
        <v>0</v>
      </c>
      <c r="I36" s="43"/>
      <c r="J36" s="43"/>
      <c r="K36" s="43"/>
      <c r="L36" s="43"/>
      <c r="M36" s="45"/>
      <c r="N36" s="43">
        <v>18871</v>
      </c>
      <c r="O36" s="58">
        <f>SUM(B36:N36)</f>
        <v>35955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60">
        <v>11700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2651</v>
      </c>
      <c r="O37" s="58">
        <f>SUM(B37:N37)</f>
        <v>14351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43">
        <v>5911</v>
      </c>
      <c r="O38" s="43">
        <v>5911</v>
      </c>
      <c r="P38" s="18">
        <f>SUM(P31:P35)</f>
        <v>0.57612064090480686</v>
      </c>
      <c r="Q38" s="18"/>
      <c r="R38" s="3"/>
      <c r="S38" s="7" t="s">
        <v>46</v>
      </c>
      <c r="T38" s="19">
        <f>O45/1000</f>
        <v>6.0126400000000002</v>
      </c>
      <c r="U38" s="7"/>
    </row>
    <row r="39" spans="1:48" ht="16" x14ac:dyDescent="0.2">
      <c r="A39" s="8" t="s">
        <v>15</v>
      </c>
      <c r="B39" s="60">
        <v>13900</v>
      </c>
      <c r="C39" s="43">
        <v>30167</v>
      </c>
      <c r="D39" s="43">
        <v>0</v>
      </c>
      <c r="E39" s="57">
        <f>SUM(E31:E38)</f>
        <v>2224</v>
      </c>
      <c r="F39" s="43">
        <v>2278</v>
      </c>
      <c r="G39" s="43">
        <v>17649</v>
      </c>
      <c r="H39" s="43">
        <v>0</v>
      </c>
      <c r="I39" s="43"/>
      <c r="J39" s="43"/>
      <c r="K39" s="43"/>
      <c r="L39" s="43"/>
      <c r="M39" s="45"/>
      <c r="N39" s="57">
        <f>SUM(N31:N38)</f>
        <v>66408</v>
      </c>
      <c r="O39" s="57">
        <f>SUM(O31:O38)</f>
        <v>132625</v>
      </c>
      <c r="P39" s="3"/>
      <c r="Q39" s="3"/>
      <c r="R39" s="3"/>
      <c r="S39" s="7" t="s">
        <v>47</v>
      </c>
      <c r="T39" s="20">
        <f>O41/1000</f>
        <v>56.216999999999999</v>
      </c>
      <c r="U39" s="14">
        <f>P41</f>
        <v>0.4238793590951932</v>
      </c>
    </row>
    <row r="40" spans="1:48" x14ac:dyDescent="0.2">
      <c r="S40" s="7" t="s">
        <v>48</v>
      </c>
      <c r="T40" s="20">
        <f>O35/1000</f>
        <v>7.9409999999999998</v>
      </c>
      <c r="U40" s="15">
        <f>P35</f>
        <v>5.9875589066917999E-2</v>
      </c>
    </row>
    <row r="41" spans="1:48" ht="16" x14ac:dyDescent="0.2">
      <c r="A41" s="21" t="s">
        <v>49</v>
      </c>
      <c r="B41" s="22">
        <f>B38+B37+B36</f>
        <v>11900</v>
      </c>
      <c r="C41" s="22">
        <f t="shared" ref="C41:O41" si="0">C38+C37+C36</f>
        <v>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16884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27433</v>
      </c>
      <c r="O41" s="22">
        <f t="shared" si="0"/>
        <v>56217</v>
      </c>
      <c r="P41" s="17">
        <f>O41/O$39</f>
        <v>0.4238793590951932</v>
      </c>
      <c r="Q41" s="17" t="s">
        <v>50</v>
      </c>
      <c r="R41" s="7"/>
      <c r="S41" s="7" t="s">
        <v>51</v>
      </c>
      <c r="T41" s="20">
        <f>O33/1000</f>
        <v>7.9260000000000002</v>
      </c>
      <c r="U41" s="14">
        <f>P33</f>
        <v>5.976248821866164E-2</v>
      </c>
    </row>
    <row r="42" spans="1:48" ht="16" x14ac:dyDescent="0.2">
      <c r="A42" s="23" t="s">
        <v>52</v>
      </c>
      <c r="B42" s="22"/>
      <c r="C42" s="24">
        <f>C39+C23+C10</f>
        <v>30167</v>
      </c>
      <c r="D42" s="24">
        <f t="shared" ref="D42:M42" si="1">D39+D23+D10</f>
        <v>0</v>
      </c>
      <c r="E42" s="24">
        <f t="shared" si="1"/>
        <v>2224</v>
      </c>
      <c r="F42" s="24">
        <f t="shared" si="1"/>
        <v>2278</v>
      </c>
      <c r="G42" s="24">
        <f t="shared" si="1"/>
        <v>33222.333333333336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71720.639999999999</v>
      </c>
      <c r="O42" s="25">
        <f>SUM(C42:N42)</f>
        <v>139611.97333333333</v>
      </c>
      <c r="P42" s="7"/>
      <c r="Q42" s="7"/>
      <c r="R42" s="7"/>
      <c r="S42" s="7" t="s">
        <v>33</v>
      </c>
      <c r="T42" s="20">
        <f>O31/1000</f>
        <v>2.4830000000000001</v>
      </c>
      <c r="U42" s="14">
        <f>P31</f>
        <v>1.8721960414703111E-2</v>
      </c>
    </row>
    <row r="43" spans="1:48" ht="16" x14ac:dyDescent="0.2">
      <c r="A43" s="23" t="s">
        <v>53</v>
      </c>
      <c r="B43" s="22"/>
      <c r="C43" s="17">
        <f t="shared" ref="C43:N43" si="2">C42/$O42</f>
        <v>0.21607745582088567</v>
      </c>
      <c r="D43" s="17">
        <f t="shared" si="2"/>
        <v>0</v>
      </c>
      <c r="E43" s="17">
        <f t="shared" si="2"/>
        <v>1.5929865805206011E-2</v>
      </c>
      <c r="F43" s="17">
        <f t="shared" si="2"/>
        <v>1.6316652115224501E-2</v>
      </c>
      <c r="G43" s="17">
        <f t="shared" si="2"/>
        <v>0.23796192074452452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0.5137141055141593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26.655999999999999</v>
      </c>
      <c r="U43" s="15">
        <f>P32</f>
        <v>0.20098774740810557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31.402000000000001</v>
      </c>
      <c r="U44" s="15">
        <f>P34</f>
        <v>0.23677285579641846</v>
      </c>
    </row>
    <row r="45" spans="1:48" ht="16" x14ac:dyDescent="0.2">
      <c r="A45" s="6" t="s">
        <v>56</v>
      </c>
      <c r="B45" s="6">
        <f>B23-B39</f>
        <v>700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5312.64</v>
      </c>
      <c r="O45" s="25">
        <f>B45+N45</f>
        <v>6012.64</v>
      </c>
      <c r="P45" s="7"/>
      <c r="Q45" s="7"/>
      <c r="R45" s="7"/>
      <c r="S45" s="7" t="s">
        <v>57</v>
      </c>
      <c r="T45" s="20">
        <f>SUM(T39:T44)</f>
        <v>132.625</v>
      </c>
      <c r="U45" s="14">
        <f>SUM(U39:U44)</f>
        <v>0.99999999999999989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9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58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29*0.95</f>
        <v>27.549999999999997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43">
        <v>34678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6" x14ac:dyDescent="0.2">
      <c r="A10" s="8" t="s">
        <v>15</v>
      </c>
      <c r="B10" s="58">
        <f>SUM(B4:B9)</f>
        <v>34705.550000000003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3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8">
        <f>44455+4617</f>
        <v>49072</v>
      </c>
      <c r="C18" s="43">
        <v>886</v>
      </c>
      <c r="D18" s="43">
        <v>30756</v>
      </c>
      <c r="E18" s="43">
        <v>0</v>
      </c>
      <c r="F18" s="43">
        <v>0</v>
      </c>
      <c r="G18" s="43">
        <v>28704</v>
      </c>
      <c r="H18" s="43">
        <v>0</v>
      </c>
      <c r="I18" s="43"/>
      <c r="J18" s="43"/>
      <c r="K18" s="43"/>
      <c r="L18" s="43"/>
      <c r="M18" s="43"/>
      <c r="N18" s="43"/>
      <c r="O18" s="43">
        <v>60346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434.94920000000002</v>
      </c>
      <c r="U21" s="3"/>
    </row>
    <row r="22" spans="1:21" ht="16" x14ac:dyDescent="0.2">
      <c r="A22" s="8" t="s">
        <v>24</v>
      </c>
      <c r="B22" s="58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43">
        <v>49072</v>
      </c>
      <c r="C23" s="43">
        <v>886</v>
      </c>
      <c r="D23" s="43">
        <v>30756</v>
      </c>
      <c r="E23" s="43">
        <v>0</v>
      </c>
      <c r="F23" s="43">
        <v>0</v>
      </c>
      <c r="G23" s="43">
        <v>28704</v>
      </c>
      <c r="H23" s="43">
        <v>0</v>
      </c>
      <c r="I23" s="43"/>
      <c r="J23" s="43"/>
      <c r="K23" s="43"/>
      <c r="L23" s="43"/>
      <c r="M23" s="43"/>
      <c r="N23" s="43"/>
      <c r="O23" s="43">
        <v>60346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290.83320000000003</v>
      </c>
      <c r="U24" s="14">
        <f>N43</f>
        <v>0.66866015617456021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69</v>
      </c>
      <c r="T25" s="13">
        <f>G42/1000</f>
        <v>41.055999999999997</v>
      </c>
      <c r="U25" s="15">
        <f>G43</f>
        <v>9.4392632518924047E-2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2.895</v>
      </c>
      <c r="U27" s="14">
        <f>F43</f>
        <v>6.6559497063105296E-3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20.689</v>
      </c>
      <c r="U28" s="14">
        <f>E43</f>
        <v>4.7566474429657529E-2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30.756</v>
      </c>
      <c r="U29" s="47">
        <f>D43</f>
        <v>7.0711706102689689E-2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2447</v>
      </c>
      <c r="D31" s="43">
        <v>0</v>
      </c>
      <c r="E31" s="43">
        <v>0</v>
      </c>
      <c r="F31" s="43">
        <v>250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1438</v>
      </c>
      <c r="O31" s="43">
        <v>4135</v>
      </c>
      <c r="P31" s="17">
        <f>O31/O$39</f>
        <v>1.0514698964295795E-2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43">
        <v>4903</v>
      </c>
      <c r="C32" s="57">
        <f>O32-N32-E32-B32</f>
        <v>8433</v>
      </c>
      <c r="D32" s="43">
        <v>0</v>
      </c>
      <c r="E32" s="57">
        <v>20689</v>
      </c>
      <c r="F32" s="43">
        <v>0</v>
      </c>
      <c r="G32" s="57">
        <v>0</v>
      </c>
      <c r="H32" s="43">
        <v>0</v>
      </c>
      <c r="I32" s="43"/>
      <c r="J32" s="43"/>
      <c r="K32" s="43"/>
      <c r="L32" s="43"/>
      <c r="M32" s="45"/>
      <c r="N32" s="57">
        <v>201186</v>
      </c>
      <c r="O32" s="43">
        <v>235211</v>
      </c>
      <c r="P32" s="17">
        <f>O32/O$39</f>
        <v>0.59810709990108302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43">
        <v>8668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7351</v>
      </c>
      <c r="O33" s="43">
        <v>16019</v>
      </c>
      <c r="P33" s="17">
        <f>O33/O$39</f>
        <v>4.0733969216216283E-2</v>
      </c>
      <c r="Q33" s="18" t="s">
        <v>38</v>
      </c>
      <c r="R33" s="3"/>
      <c r="S33" s="3" t="s">
        <v>34</v>
      </c>
      <c r="T33" s="13">
        <f>C42/1000</f>
        <v>48.72</v>
      </c>
      <c r="U33" s="15">
        <f>C43</f>
        <v>0.11201308106785804</v>
      </c>
    </row>
    <row r="34" spans="1:48" ht="15.75" x14ac:dyDescent="0.25">
      <c r="A34" s="8" t="s">
        <v>39</v>
      </c>
      <c r="B34" s="43">
        <v>0</v>
      </c>
      <c r="C34" s="43">
        <v>35894</v>
      </c>
      <c r="D34" s="43">
        <v>0</v>
      </c>
      <c r="E34" s="43">
        <v>0</v>
      </c>
      <c r="F34" s="43">
        <v>2645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15</v>
      </c>
      <c r="O34" s="43">
        <v>38554</v>
      </c>
      <c r="P34" s="17">
        <f>O34/O$39</f>
        <v>9.8037171431550205E-2</v>
      </c>
      <c r="Q34" s="18" t="s">
        <v>40</v>
      </c>
      <c r="R34" s="3"/>
      <c r="S34" s="3"/>
      <c r="T34" s="13">
        <f>SUM(T24:T32)</f>
        <v>386.22919999999999</v>
      </c>
      <c r="U34" s="14">
        <f>SUM(U24:U32)</f>
        <v>0.8879869189321421</v>
      </c>
    </row>
    <row r="35" spans="1:48" ht="16" x14ac:dyDescent="0.2">
      <c r="A35" s="8" t="s">
        <v>41</v>
      </c>
      <c r="B35" s="43">
        <v>0</v>
      </c>
      <c r="C35" s="43">
        <v>1060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14452</v>
      </c>
      <c r="O35" s="43">
        <v>15511</v>
      </c>
      <c r="P35" s="17">
        <f>O35/O$39</f>
        <v>3.9442199669937623E-2</v>
      </c>
      <c r="Q35" s="18" t="s">
        <v>42</v>
      </c>
      <c r="R35" s="18"/>
    </row>
    <row r="36" spans="1:48" ht="16" x14ac:dyDescent="0.2">
      <c r="A36" s="8" t="s">
        <v>43</v>
      </c>
      <c r="B36" s="43">
        <v>8736</v>
      </c>
      <c r="C36" s="43">
        <v>0</v>
      </c>
      <c r="D36" s="43">
        <v>0</v>
      </c>
      <c r="E36" s="43">
        <v>0</v>
      </c>
      <c r="F36" s="43">
        <v>0</v>
      </c>
      <c r="G36" s="43">
        <v>12352</v>
      </c>
      <c r="H36" s="43">
        <v>0</v>
      </c>
      <c r="I36" s="43"/>
      <c r="J36" s="43"/>
      <c r="K36" s="43"/>
      <c r="L36" s="43"/>
      <c r="M36" s="45"/>
      <c r="N36" s="43">
        <v>37475</v>
      </c>
      <c r="O36" s="43">
        <v>58563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43">
        <v>17893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5887</v>
      </c>
      <c r="O37" s="43">
        <v>23780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43">
        <v>1486</v>
      </c>
      <c r="O38" s="43">
        <v>1486</v>
      </c>
      <c r="P38" s="18">
        <f>SUM(P31:P35)</f>
        <v>0.78683513918308301</v>
      </c>
      <c r="Q38" s="18"/>
      <c r="R38" s="3"/>
      <c r="S38" s="7" t="s">
        <v>46</v>
      </c>
      <c r="T38" s="19">
        <f>O45/1000</f>
        <v>30.415200000000002</v>
      </c>
      <c r="U38" s="7"/>
    </row>
    <row r="39" spans="1:48" ht="16" x14ac:dyDescent="0.2">
      <c r="A39" s="8" t="s">
        <v>15</v>
      </c>
      <c r="B39" s="43">
        <v>40200</v>
      </c>
      <c r="C39" s="57">
        <f>SUM(C31:C38)</f>
        <v>47834</v>
      </c>
      <c r="D39" s="43">
        <v>0</v>
      </c>
      <c r="E39" s="57">
        <f>SUM(E31:E38)</f>
        <v>20689</v>
      </c>
      <c r="F39" s="43">
        <v>2895</v>
      </c>
      <c r="G39" s="57">
        <f>SUM(G31:G38)</f>
        <v>12352</v>
      </c>
      <c r="H39" s="43">
        <v>0</v>
      </c>
      <c r="I39" s="43"/>
      <c r="J39" s="43"/>
      <c r="K39" s="43"/>
      <c r="L39" s="43"/>
      <c r="M39" s="45"/>
      <c r="N39" s="57">
        <f>SUM(N31:N38)</f>
        <v>269290</v>
      </c>
      <c r="O39" s="43">
        <v>393259</v>
      </c>
      <c r="P39" s="3"/>
      <c r="Q39" s="3"/>
      <c r="R39" s="3"/>
      <c r="S39" s="7" t="s">
        <v>47</v>
      </c>
      <c r="T39" s="20">
        <f>O41/1000</f>
        <v>83.828999999999994</v>
      </c>
      <c r="U39" s="14">
        <f>P41</f>
        <v>0.2131648608169171</v>
      </c>
    </row>
    <row r="40" spans="1:48" x14ac:dyDescent="0.2">
      <c r="O40" s="10"/>
      <c r="S40" s="7" t="s">
        <v>48</v>
      </c>
      <c r="T40" s="20">
        <f>O35/1000</f>
        <v>15.510999999999999</v>
      </c>
      <c r="U40" s="15">
        <f>P35</f>
        <v>3.9442199669937623E-2</v>
      </c>
    </row>
    <row r="41" spans="1:48" ht="16" x14ac:dyDescent="0.2">
      <c r="A41" s="21" t="s">
        <v>49</v>
      </c>
      <c r="B41" s="22">
        <f>B38+B37+B36</f>
        <v>26629</v>
      </c>
      <c r="C41" s="22">
        <f t="shared" ref="C41:O41" si="0">C38+C37+C36</f>
        <v>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12352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44848</v>
      </c>
      <c r="O41" s="22">
        <f t="shared" si="0"/>
        <v>83829</v>
      </c>
      <c r="P41" s="17">
        <f>O41/O$39</f>
        <v>0.2131648608169171</v>
      </c>
      <c r="Q41" s="17" t="s">
        <v>50</v>
      </c>
      <c r="R41" s="7"/>
      <c r="S41" s="7" t="s">
        <v>51</v>
      </c>
      <c r="T41" s="20">
        <f>O33/1000</f>
        <v>16.018999999999998</v>
      </c>
      <c r="U41" s="14">
        <f>P33</f>
        <v>4.0733969216216283E-2</v>
      </c>
    </row>
    <row r="42" spans="1:48" ht="16" x14ac:dyDescent="0.2">
      <c r="A42" s="23" t="s">
        <v>52</v>
      </c>
      <c r="B42" s="22"/>
      <c r="C42" s="24">
        <f>C39+C23+C10</f>
        <v>48720</v>
      </c>
      <c r="D42" s="24">
        <f t="shared" ref="D42:M42" si="1">D39+D23+D10</f>
        <v>30756</v>
      </c>
      <c r="E42" s="24">
        <f t="shared" si="1"/>
        <v>20689</v>
      </c>
      <c r="F42" s="24">
        <f t="shared" si="1"/>
        <v>2895</v>
      </c>
      <c r="G42" s="24">
        <f t="shared" si="1"/>
        <v>41056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290833.2</v>
      </c>
      <c r="O42" s="25">
        <f>SUM(C42:N42)</f>
        <v>434949.2</v>
      </c>
      <c r="P42" s="7"/>
      <c r="Q42" s="7"/>
      <c r="R42" s="7"/>
      <c r="S42" s="7" t="s">
        <v>33</v>
      </c>
      <c r="T42" s="20">
        <f>O31/1000</f>
        <v>4.1349999999999998</v>
      </c>
      <c r="U42" s="14">
        <f>P31</f>
        <v>1.0514698964295795E-2</v>
      </c>
    </row>
    <row r="43" spans="1:48" ht="16" x14ac:dyDescent="0.2">
      <c r="A43" s="23" t="s">
        <v>53</v>
      </c>
      <c r="B43" s="22"/>
      <c r="C43" s="17">
        <f t="shared" ref="C43:N43" si="2">C42/$O42</f>
        <v>0.11201308106785804</v>
      </c>
      <c r="D43" s="17">
        <f t="shared" si="2"/>
        <v>7.0711706102689689E-2</v>
      </c>
      <c r="E43" s="17">
        <f t="shared" si="2"/>
        <v>4.7566474429657529E-2</v>
      </c>
      <c r="F43" s="17">
        <f t="shared" si="2"/>
        <v>6.6559497063105296E-3</v>
      </c>
      <c r="G43" s="17">
        <f t="shared" si="2"/>
        <v>9.4392632518924047E-2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0.66866015617456021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235.21100000000001</v>
      </c>
      <c r="U43" s="15">
        <f>P32</f>
        <v>0.59810709990108302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38.554000000000002</v>
      </c>
      <c r="U44" s="15">
        <f>P34</f>
        <v>9.8037171431550205E-2</v>
      </c>
    </row>
    <row r="45" spans="1:48" ht="16" x14ac:dyDescent="0.2">
      <c r="A45" s="6" t="s">
        <v>56</v>
      </c>
      <c r="B45" s="6">
        <f>B23-B39</f>
        <v>8872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21543.200000000001</v>
      </c>
      <c r="O45" s="25">
        <f>B45+N45</f>
        <v>30415.200000000001</v>
      </c>
      <c r="P45" s="7"/>
      <c r="Q45" s="7"/>
      <c r="R45" s="7"/>
      <c r="S45" s="7" t="s">
        <v>57</v>
      </c>
      <c r="T45" s="20">
        <f>SUM(T39:T44)</f>
        <v>393.25900000000001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9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9"/>
      <c r="C55" s="27"/>
      <c r="D55" s="28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9"/>
      <c r="C56" s="27"/>
      <c r="D56" s="28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9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9"/>
      <c r="C58" s="29"/>
      <c r="D58" s="40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9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63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34*0.95</f>
        <v>32.299999999999997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43">
        <v>2034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8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5"/>
      <c r="AI9" s="45"/>
    </row>
    <row r="10" spans="1:35" ht="16" x14ac:dyDescent="0.2">
      <c r="A10" s="8" t="s">
        <v>15</v>
      </c>
      <c r="B10" s="58">
        <f>SUM(B4:B9)</f>
        <v>2066.3000000000002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3"/>
      <c r="Q10" s="45"/>
      <c r="R10" s="45"/>
      <c r="S10" s="8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8">
        <f>34810+4320</f>
        <v>39130</v>
      </c>
      <c r="C18" s="43">
        <v>507</v>
      </c>
      <c r="D18" s="43">
        <v>0</v>
      </c>
      <c r="E18" s="43">
        <v>0</v>
      </c>
      <c r="F18" s="43">
        <v>140</v>
      </c>
      <c r="G18" s="43">
        <v>41329</v>
      </c>
      <c r="H18" s="43">
        <v>0</v>
      </c>
      <c r="I18" s="43"/>
      <c r="J18" s="43"/>
      <c r="K18" s="43"/>
      <c r="L18" s="43"/>
      <c r="M18" s="43"/>
      <c r="N18" s="43"/>
      <c r="O18" s="43">
        <v>41976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205.10643999999999</v>
      </c>
      <c r="U21" s="3"/>
    </row>
    <row r="22" spans="1:21" ht="16" x14ac:dyDescent="0.2">
      <c r="A22" s="8" t="s">
        <v>24</v>
      </c>
      <c r="B22" s="58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43">
        <v>39130</v>
      </c>
      <c r="C23" s="43">
        <v>507</v>
      </c>
      <c r="D23" s="43">
        <v>0</v>
      </c>
      <c r="E23" s="43">
        <v>0</v>
      </c>
      <c r="F23" s="43">
        <v>140</v>
      </c>
      <c r="G23" s="43">
        <v>41329</v>
      </c>
      <c r="H23" s="43">
        <v>0</v>
      </c>
      <c r="I23" s="43"/>
      <c r="J23" s="43"/>
      <c r="K23" s="43"/>
      <c r="L23" s="43"/>
      <c r="M23" s="43"/>
      <c r="N23" s="43"/>
      <c r="O23" s="43">
        <v>41976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89.281440000000003</v>
      </c>
      <c r="U24" s="14">
        <f>N43</f>
        <v>0.43529320678570599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69</v>
      </c>
      <c r="T25" s="13">
        <f>G42/1000</f>
        <v>51.534999999999997</v>
      </c>
      <c r="U25" s="15">
        <f>G43</f>
        <v>0.25125978491947887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4.6440000000000001</v>
      </c>
      <c r="U27" s="14">
        <f>F43</f>
        <v>2.2641902419056174E-2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0</v>
      </c>
      <c r="U28" s="14">
        <f>E43</f>
        <v>0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0</v>
      </c>
      <c r="U29" s="47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3994</v>
      </c>
      <c r="D31" s="43">
        <v>0</v>
      </c>
      <c r="E31" s="43">
        <v>0</v>
      </c>
      <c r="F31" s="43">
        <v>413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3607</v>
      </c>
      <c r="O31" s="43">
        <v>8015</v>
      </c>
      <c r="P31" s="17">
        <f>O31/O$39</f>
        <v>4.1971701176150226E-2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43">
        <v>7296</v>
      </c>
      <c r="C32" s="43">
        <v>1179</v>
      </c>
      <c r="D32" s="43">
        <v>0</v>
      </c>
      <c r="E32" s="43">
        <v>0</v>
      </c>
      <c r="F32" s="43">
        <v>0</v>
      </c>
      <c r="G32" s="43">
        <v>138</v>
      </c>
      <c r="H32" s="43">
        <v>0</v>
      </c>
      <c r="I32" s="43"/>
      <c r="J32" s="43"/>
      <c r="K32" s="43"/>
      <c r="L32" s="43"/>
      <c r="M32" s="45"/>
      <c r="N32" s="43">
        <v>26460</v>
      </c>
      <c r="O32" s="43">
        <v>35073</v>
      </c>
      <c r="P32" s="17">
        <f>O32/O$39</f>
        <v>0.18366481289471204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43">
        <v>8220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9128</v>
      </c>
      <c r="O33" s="43">
        <v>17348</v>
      </c>
      <c r="P33" s="17">
        <f>O33/O$39</f>
        <v>9.0845299064735388E-2</v>
      </c>
      <c r="Q33" s="18" t="s">
        <v>38</v>
      </c>
      <c r="R33" s="3"/>
      <c r="S33" s="3" t="s">
        <v>34</v>
      </c>
      <c r="T33" s="13">
        <f>C42/1000</f>
        <v>59.646000000000001</v>
      </c>
      <c r="U33" s="15">
        <f>C43</f>
        <v>0.29080510587575892</v>
      </c>
    </row>
    <row r="34" spans="1:48" ht="15.75" x14ac:dyDescent="0.25">
      <c r="A34" s="8" t="s">
        <v>39</v>
      </c>
      <c r="B34" s="43">
        <v>0</v>
      </c>
      <c r="C34" s="43">
        <v>52998</v>
      </c>
      <c r="D34" s="43">
        <v>0</v>
      </c>
      <c r="E34" s="43">
        <v>0</v>
      </c>
      <c r="F34" s="43">
        <v>4091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98</v>
      </c>
      <c r="O34" s="43">
        <v>57186</v>
      </c>
      <c r="P34" s="17">
        <f>O34/O$39</f>
        <v>0.29946272033179377</v>
      </c>
      <c r="Q34" s="18" t="s">
        <v>40</v>
      </c>
      <c r="R34" s="3"/>
      <c r="S34" s="3"/>
      <c r="T34" s="13">
        <f>SUM(T24:T32)</f>
        <v>145.46044000000001</v>
      </c>
      <c r="U34" s="14">
        <f>SUM(U24:U32)</f>
        <v>0.70919489412424108</v>
      </c>
    </row>
    <row r="35" spans="1:48" ht="16" x14ac:dyDescent="0.2">
      <c r="A35" s="8" t="s">
        <v>41</v>
      </c>
      <c r="B35" s="43">
        <v>650</v>
      </c>
      <c r="C35" s="43">
        <v>820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8682</v>
      </c>
      <c r="O35" s="43">
        <v>10152</v>
      </c>
      <c r="P35" s="17">
        <f>O35/O$39</f>
        <v>5.3162409275143749E-2</v>
      </c>
      <c r="Q35" s="18" t="s">
        <v>42</v>
      </c>
      <c r="R35" s="18"/>
    </row>
    <row r="36" spans="1:48" ht="16" x14ac:dyDescent="0.2">
      <c r="A36" s="8" t="s">
        <v>43</v>
      </c>
      <c r="B36" s="43">
        <v>4537</v>
      </c>
      <c r="C36" s="43">
        <v>148</v>
      </c>
      <c r="D36" s="43">
        <v>0</v>
      </c>
      <c r="E36" s="43">
        <v>0</v>
      </c>
      <c r="F36" s="43">
        <v>0</v>
      </c>
      <c r="G36" s="43">
        <v>10068</v>
      </c>
      <c r="H36" s="43">
        <v>0</v>
      </c>
      <c r="I36" s="43"/>
      <c r="J36" s="43"/>
      <c r="K36" s="43"/>
      <c r="L36" s="43"/>
      <c r="M36" s="45"/>
      <c r="N36" s="43">
        <v>30584</v>
      </c>
      <c r="O36" s="43">
        <v>45338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43">
        <v>13742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2479</v>
      </c>
      <c r="O37" s="43">
        <v>16221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43">
        <v>1629</v>
      </c>
      <c r="O38" s="43">
        <v>1629</v>
      </c>
      <c r="P38" s="18">
        <f>SUM(P31:P35)</f>
        <v>0.66910694274253513</v>
      </c>
      <c r="Q38" s="18"/>
      <c r="R38" s="3"/>
      <c r="S38" s="7" t="s">
        <v>46</v>
      </c>
      <c r="T38" s="19">
        <f>O45/1000</f>
        <v>11.298440000000001</v>
      </c>
      <c r="U38" s="7"/>
    </row>
    <row r="39" spans="1:48" ht="16" x14ac:dyDescent="0.2">
      <c r="A39" s="8" t="s">
        <v>15</v>
      </c>
      <c r="B39" s="43">
        <v>34445</v>
      </c>
      <c r="C39" s="43">
        <v>59139</v>
      </c>
      <c r="D39" s="43">
        <v>0</v>
      </c>
      <c r="E39" s="43">
        <v>0</v>
      </c>
      <c r="F39" s="43">
        <v>4504</v>
      </c>
      <c r="G39" s="43">
        <v>10206</v>
      </c>
      <c r="H39" s="43">
        <v>0</v>
      </c>
      <c r="I39" s="43"/>
      <c r="J39" s="43"/>
      <c r="K39" s="43"/>
      <c r="L39" s="43"/>
      <c r="M39" s="45"/>
      <c r="N39" s="43">
        <v>82668</v>
      </c>
      <c r="O39" s="43">
        <v>190962</v>
      </c>
      <c r="P39" s="3"/>
      <c r="Q39" s="3"/>
      <c r="R39" s="3"/>
      <c r="S39" s="7" t="s">
        <v>47</v>
      </c>
      <c r="T39" s="20">
        <f>O41/1000</f>
        <v>63.188000000000002</v>
      </c>
      <c r="U39" s="14">
        <f>P41</f>
        <v>0.33089305725746482</v>
      </c>
    </row>
    <row r="40" spans="1:48" x14ac:dyDescent="0.2">
      <c r="S40" s="7" t="s">
        <v>48</v>
      </c>
      <c r="T40" s="20">
        <f>O35/1000</f>
        <v>10.151999999999999</v>
      </c>
      <c r="U40" s="15">
        <f>P35</f>
        <v>5.3162409275143749E-2</v>
      </c>
    </row>
    <row r="41" spans="1:48" ht="16" x14ac:dyDescent="0.2">
      <c r="A41" s="21" t="s">
        <v>49</v>
      </c>
      <c r="B41" s="22">
        <f>B38+B37+B36</f>
        <v>18279</v>
      </c>
      <c r="C41" s="22">
        <f t="shared" ref="C41:O41" si="0">C38+C37+C36</f>
        <v>148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10068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34692</v>
      </c>
      <c r="O41" s="22">
        <f t="shared" si="0"/>
        <v>63188</v>
      </c>
      <c r="P41" s="17">
        <f>O41/O$39</f>
        <v>0.33089305725746482</v>
      </c>
      <c r="Q41" s="17" t="s">
        <v>50</v>
      </c>
      <c r="R41" s="7"/>
      <c r="S41" s="7" t="s">
        <v>51</v>
      </c>
      <c r="T41" s="20">
        <f>O33/1000</f>
        <v>17.347999999999999</v>
      </c>
      <c r="U41" s="14">
        <f>P33</f>
        <v>9.0845299064735388E-2</v>
      </c>
    </row>
    <row r="42" spans="1:48" ht="16" x14ac:dyDescent="0.2">
      <c r="A42" s="23" t="s">
        <v>52</v>
      </c>
      <c r="B42" s="22"/>
      <c r="C42" s="24">
        <f>C39+C23+C10</f>
        <v>59646</v>
      </c>
      <c r="D42" s="24">
        <f t="shared" ref="D42:M42" si="1">D39+D23+D10</f>
        <v>0</v>
      </c>
      <c r="E42" s="24">
        <f t="shared" si="1"/>
        <v>0</v>
      </c>
      <c r="F42" s="24">
        <f t="shared" si="1"/>
        <v>4644</v>
      </c>
      <c r="G42" s="24">
        <f t="shared" si="1"/>
        <v>51535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89281.44</v>
      </c>
      <c r="O42" s="25">
        <f>SUM(C42:N42)</f>
        <v>205106.44</v>
      </c>
      <c r="P42" s="7"/>
      <c r="Q42" s="7"/>
      <c r="R42" s="7"/>
      <c r="S42" s="7" t="s">
        <v>33</v>
      </c>
      <c r="T42" s="20">
        <f>O31/1000</f>
        <v>8.0150000000000006</v>
      </c>
      <c r="U42" s="14">
        <f>P31</f>
        <v>4.1971701176150226E-2</v>
      </c>
    </row>
    <row r="43" spans="1:48" ht="16" x14ac:dyDescent="0.2">
      <c r="A43" s="23" t="s">
        <v>53</v>
      </c>
      <c r="B43" s="22"/>
      <c r="C43" s="17">
        <f t="shared" ref="C43:N43" si="2">C42/$O42</f>
        <v>0.29080510587575892</v>
      </c>
      <c r="D43" s="17">
        <f t="shared" si="2"/>
        <v>0</v>
      </c>
      <c r="E43" s="17">
        <f t="shared" si="2"/>
        <v>0</v>
      </c>
      <c r="F43" s="17">
        <f t="shared" si="2"/>
        <v>2.2641902419056174E-2</v>
      </c>
      <c r="G43" s="17">
        <f t="shared" si="2"/>
        <v>0.25125978491947887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0.43529320678570599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35.073</v>
      </c>
      <c r="U43" s="15">
        <f>P32</f>
        <v>0.18366481289471204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57.186</v>
      </c>
      <c r="U44" s="15">
        <f>P34</f>
        <v>0.29946272033179377</v>
      </c>
    </row>
    <row r="45" spans="1:48" ht="16" x14ac:dyDescent="0.2">
      <c r="A45" s="6" t="s">
        <v>56</v>
      </c>
      <c r="B45" s="6">
        <f>B23-B39</f>
        <v>4685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6613.4400000000005</v>
      </c>
      <c r="O45" s="25">
        <f>B45+N45</f>
        <v>11298.44</v>
      </c>
      <c r="P45" s="7"/>
      <c r="Q45" s="7"/>
      <c r="R45" s="7"/>
      <c r="S45" s="7" t="s">
        <v>57</v>
      </c>
      <c r="T45" s="20">
        <f>SUM(T39:T44)</f>
        <v>190.96200000000002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9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64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33*0.95</f>
        <v>31.349999999999998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5"/>
      <c r="Q7" s="45"/>
      <c r="R7" s="45"/>
      <c r="AH7" s="45"/>
      <c r="AI7" s="45"/>
    </row>
    <row r="8" spans="1:35" ht="15.75" x14ac:dyDescent="0.25">
      <c r="A8" s="8" t="s">
        <v>13</v>
      </c>
      <c r="B8" s="43">
        <v>71957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5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5"/>
      <c r="Q9" s="45"/>
      <c r="R9" s="45"/>
      <c r="S9" s="8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5"/>
      <c r="AI9" s="45"/>
    </row>
    <row r="10" spans="1:35" ht="16" x14ac:dyDescent="0.2">
      <c r="A10" s="8" t="s">
        <v>15</v>
      </c>
      <c r="B10" s="58">
        <f>SUM(B4:B9)</f>
        <v>71988.350000000006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5"/>
      <c r="Q10" s="45"/>
      <c r="R10" s="45"/>
      <c r="S10" s="8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/>
      <c r="J18" s="43"/>
      <c r="K18" s="43"/>
      <c r="L18" s="43"/>
      <c r="M18" s="43"/>
      <c r="N18" s="43"/>
      <c r="O18" s="43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434.23520000000002</v>
      </c>
      <c r="U21" s="3"/>
    </row>
    <row r="22" spans="1:21" ht="16" x14ac:dyDescent="0.2">
      <c r="A22" s="8" t="s">
        <v>24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/>
      <c r="J23" s="43"/>
      <c r="K23" s="43"/>
      <c r="L23" s="43"/>
      <c r="M23" s="43"/>
      <c r="N23" s="43"/>
      <c r="O23" s="43">
        <v>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1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230.16420000000002</v>
      </c>
      <c r="U24" s="14">
        <f>N43</f>
        <v>0.5300450078667045</v>
      </c>
    </row>
    <row r="25" spans="1:21" ht="16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69</v>
      </c>
      <c r="T25" s="13">
        <f>G42/1000</f>
        <v>16.172000000000001</v>
      </c>
      <c r="U25" s="15">
        <f>G43</f>
        <v>3.724248978433807E-2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13.597</v>
      </c>
      <c r="U27" s="14">
        <f>F43</f>
        <v>3.131252371986426E-2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6.6710000000000003</v>
      </c>
      <c r="U28" s="14">
        <f>E43</f>
        <v>1.536264218101158E-2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0</v>
      </c>
      <c r="U29" s="47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1576</v>
      </c>
      <c r="D31" s="43">
        <v>0</v>
      </c>
      <c r="E31" s="43">
        <v>0</v>
      </c>
      <c r="F31" s="43">
        <v>142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2210</v>
      </c>
      <c r="O31" s="43">
        <v>3929</v>
      </c>
      <c r="P31" s="17">
        <f>O31/O$39</f>
        <v>7.5929161126743142E-3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43">
        <v>21299</v>
      </c>
      <c r="C32" s="57">
        <f>O32-N32-G32-F32-E32-B32</f>
        <v>4796</v>
      </c>
      <c r="D32" s="43">
        <v>0</v>
      </c>
      <c r="E32" s="57">
        <v>6671</v>
      </c>
      <c r="F32" s="57">
        <v>500</v>
      </c>
      <c r="G32" s="43">
        <v>167</v>
      </c>
      <c r="H32" s="43">
        <v>0</v>
      </c>
      <c r="I32" s="43"/>
      <c r="J32" s="43"/>
      <c r="K32" s="43"/>
      <c r="L32" s="43"/>
      <c r="M32" s="45"/>
      <c r="N32" s="43">
        <v>108490</v>
      </c>
      <c r="O32" s="43">
        <v>141923</v>
      </c>
      <c r="P32" s="17">
        <f>O32/O$39</f>
        <v>0.27427066262638755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43">
        <v>15756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20370</v>
      </c>
      <c r="O33" s="43">
        <v>36126</v>
      </c>
      <c r="P33" s="17">
        <f>O33/O$39</f>
        <v>6.9814631582202163E-2</v>
      </c>
      <c r="Q33" s="18" t="s">
        <v>38</v>
      </c>
      <c r="R33" s="3"/>
      <c r="S33" s="3" t="s">
        <v>34</v>
      </c>
      <c r="T33" s="13">
        <f>C42/1000</f>
        <v>167.631</v>
      </c>
      <c r="U33" s="15">
        <f>C43</f>
        <v>0.38603733644808158</v>
      </c>
    </row>
    <row r="34" spans="1:48" ht="15.75" x14ac:dyDescent="0.25">
      <c r="A34" s="8" t="s">
        <v>39</v>
      </c>
      <c r="B34" s="43">
        <v>0</v>
      </c>
      <c r="C34" s="43">
        <v>157126</v>
      </c>
      <c r="D34" s="43">
        <v>0</v>
      </c>
      <c r="E34" s="43">
        <v>0</v>
      </c>
      <c r="F34" s="43">
        <v>12955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165</v>
      </c>
      <c r="O34" s="43">
        <v>170245</v>
      </c>
      <c r="P34" s="17">
        <f>O34/O$39</f>
        <v>0.32900381868216816</v>
      </c>
      <c r="Q34" s="18" t="s">
        <v>40</v>
      </c>
      <c r="R34" s="3"/>
      <c r="S34" s="3"/>
      <c r="T34" s="13">
        <f>SUM(T24:T32)</f>
        <v>266.60419999999999</v>
      </c>
      <c r="U34" s="14">
        <f>SUM(U24:U32)</f>
        <v>0.61396266355191842</v>
      </c>
    </row>
    <row r="35" spans="1:48" ht="16" x14ac:dyDescent="0.2">
      <c r="A35" s="8" t="s">
        <v>41</v>
      </c>
      <c r="B35" s="43">
        <v>12732</v>
      </c>
      <c r="C35" s="43">
        <v>3968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26496</v>
      </c>
      <c r="O35" s="43">
        <v>43196</v>
      </c>
      <c r="P35" s="17">
        <f>O35/O$39</f>
        <v>8.3477629015800373E-2</v>
      </c>
      <c r="Q35" s="18" t="s">
        <v>42</v>
      </c>
      <c r="R35" s="18"/>
    </row>
    <row r="36" spans="1:48" ht="16" x14ac:dyDescent="0.2">
      <c r="A36" s="8" t="s">
        <v>43</v>
      </c>
      <c r="B36" s="43">
        <v>17144</v>
      </c>
      <c r="C36" s="43">
        <v>165</v>
      </c>
      <c r="D36" s="43">
        <v>0</v>
      </c>
      <c r="E36" s="43">
        <v>0</v>
      </c>
      <c r="F36" s="43">
        <v>0</v>
      </c>
      <c r="G36" s="43">
        <v>16006</v>
      </c>
      <c r="H36" s="43">
        <v>0</v>
      </c>
      <c r="I36" s="43"/>
      <c r="J36" s="43"/>
      <c r="K36" s="43"/>
      <c r="L36" s="43"/>
      <c r="M36" s="45"/>
      <c r="N36" s="43">
        <v>47074</v>
      </c>
      <c r="O36" s="43">
        <v>80389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43">
        <v>33338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7231</v>
      </c>
      <c r="O37" s="43">
        <v>40569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43">
        <v>1079</v>
      </c>
      <c r="O38" s="43">
        <v>1079</v>
      </c>
      <c r="P38" s="18">
        <f>SUM(P31:P35)</f>
        <v>0.76415965801923247</v>
      </c>
      <c r="Q38" s="18"/>
      <c r="R38" s="3"/>
      <c r="S38" s="7" t="s">
        <v>46</v>
      </c>
      <c r="T38" s="19">
        <f>O45/1000</f>
        <v>-83.219800000000006</v>
      </c>
      <c r="U38" s="7"/>
    </row>
    <row r="39" spans="1:48" ht="16" x14ac:dyDescent="0.2">
      <c r="A39" s="8" t="s">
        <v>15</v>
      </c>
      <c r="B39" s="43">
        <v>100269</v>
      </c>
      <c r="C39" s="57">
        <f>SUM(C31:C38)</f>
        <v>167631</v>
      </c>
      <c r="D39" s="43">
        <v>0</v>
      </c>
      <c r="E39" s="57">
        <f>SUM(E31:E38)</f>
        <v>6671</v>
      </c>
      <c r="F39" s="57">
        <f>SUM(F31:F38)</f>
        <v>13597</v>
      </c>
      <c r="G39" s="43">
        <v>16172</v>
      </c>
      <c r="H39" s="43">
        <v>0</v>
      </c>
      <c r="I39" s="43"/>
      <c r="J39" s="43"/>
      <c r="K39" s="43"/>
      <c r="L39" s="43"/>
      <c r="M39" s="45"/>
      <c r="N39" s="43">
        <v>213115</v>
      </c>
      <c r="O39" s="43">
        <v>517456</v>
      </c>
      <c r="P39" s="3"/>
      <c r="Q39" s="3"/>
      <c r="R39" s="3"/>
      <c r="S39" s="7" t="s">
        <v>47</v>
      </c>
      <c r="T39" s="20">
        <f>O41/1000</f>
        <v>122.03700000000001</v>
      </c>
      <c r="U39" s="14">
        <f>P41</f>
        <v>0.23584034198076745</v>
      </c>
    </row>
    <row r="40" spans="1:48" x14ac:dyDescent="0.2">
      <c r="S40" s="7" t="s">
        <v>48</v>
      </c>
      <c r="T40" s="20">
        <f>O35/1000</f>
        <v>43.195999999999998</v>
      </c>
      <c r="U40" s="15">
        <f>P35</f>
        <v>8.3477629015800373E-2</v>
      </c>
    </row>
    <row r="41" spans="1:48" ht="16" x14ac:dyDescent="0.2">
      <c r="A41" s="21" t="s">
        <v>49</v>
      </c>
      <c r="B41" s="22">
        <f>B38+B37+B36</f>
        <v>50482</v>
      </c>
      <c r="C41" s="22">
        <f t="shared" ref="C41:O41" si="0">C38+C37+C36</f>
        <v>165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16006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55384</v>
      </c>
      <c r="O41" s="22">
        <f t="shared" si="0"/>
        <v>122037</v>
      </c>
      <c r="P41" s="17">
        <f>O41/O$39</f>
        <v>0.23584034198076745</v>
      </c>
      <c r="Q41" s="17" t="s">
        <v>50</v>
      </c>
      <c r="R41" s="7"/>
      <c r="S41" s="7" t="s">
        <v>51</v>
      </c>
      <c r="T41" s="20">
        <f>O33/1000</f>
        <v>36.125999999999998</v>
      </c>
      <c r="U41" s="14">
        <f>P33</f>
        <v>6.9814631582202163E-2</v>
      </c>
    </row>
    <row r="42" spans="1:48" ht="16" x14ac:dyDescent="0.2">
      <c r="A42" s="23" t="s">
        <v>52</v>
      </c>
      <c r="B42" s="22"/>
      <c r="C42" s="24">
        <f>C39+C23+C10</f>
        <v>167631</v>
      </c>
      <c r="D42" s="24">
        <f t="shared" ref="D42:M42" si="1">D39+D23+D10</f>
        <v>0</v>
      </c>
      <c r="E42" s="24">
        <f t="shared" si="1"/>
        <v>6671</v>
      </c>
      <c r="F42" s="24">
        <f t="shared" si="1"/>
        <v>13597</v>
      </c>
      <c r="G42" s="24">
        <f t="shared" si="1"/>
        <v>16172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230164.2</v>
      </c>
      <c r="O42" s="25">
        <f>SUM(C42:N42)</f>
        <v>434235.2</v>
      </c>
      <c r="P42" s="7"/>
      <c r="Q42" s="7"/>
      <c r="R42" s="7"/>
      <c r="S42" s="7" t="s">
        <v>33</v>
      </c>
      <c r="T42" s="20">
        <f>O31/1000</f>
        <v>3.9289999999999998</v>
      </c>
      <c r="U42" s="14">
        <f>P31</f>
        <v>7.5929161126743142E-3</v>
      </c>
    </row>
    <row r="43" spans="1:48" ht="16" x14ac:dyDescent="0.2">
      <c r="A43" s="23" t="s">
        <v>53</v>
      </c>
      <c r="B43" s="22"/>
      <c r="C43" s="17">
        <f t="shared" ref="C43:N43" si="2">C42/$O42</f>
        <v>0.38603733644808158</v>
      </c>
      <c r="D43" s="17">
        <f t="shared" si="2"/>
        <v>0</v>
      </c>
      <c r="E43" s="17">
        <f t="shared" si="2"/>
        <v>1.536264218101158E-2</v>
      </c>
      <c r="F43" s="17">
        <f t="shared" si="2"/>
        <v>3.131252371986426E-2</v>
      </c>
      <c r="G43" s="17">
        <f t="shared" si="2"/>
        <v>3.724248978433807E-2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0.5300450078667045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141.923</v>
      </c>
      <c r="U43" s="15">
        <f>P32</f>
        <v>0.27427066262638755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170.245</v>
      </c>
      <c r="U44" s="15">
        <f>P34</f>
        <v>0.32900381868216816</v>
      </c>
    </row>
    <row r="45" spans="1:48" ht="16" x14ac:dyDescent="0.2">
      <c r="A45" s="6" t="s">
        <v>56</v>
      </c>
      <c r="B45" s="6">
        <f>B23+B24-B39</f>
        <v>-100269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17049.2</v>
      </c>
      <c r="O45" s="25">
        <f>B45+N45</f>
        <v>-83219.8</v>
      </c>
      <c r="P45" s="7"/>
      <c r="Q45" s="7"/>
      <c r="R45" s="7"/>
      <c r="S45" s="7" t="s">
        <v>57</v>
      </c>
      <c r="T45" s="20">
        <f>SUM(T39:T44)</f>
        <v>517.45600000000002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9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65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31*0.95</f>
        <v>29.45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57">
        <v>350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8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5"/>
      <c r="AI9" s="45"/>
    </row>
    <row r="10" spans="1:35" ht="16" x14ac:dyDescent="0.2">
      <c r="A10" s="8" t="s">
        <v>15</v>
      </c>
      <c r="B10" s="57">
        <f>SUM(B4:B9)</f>
        <v>379.45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3"/>
      <c r="Q10" s="45"/>
      <c r="R10" s="45"/>
      <c r="S10" s="8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58">
        <f>B21*(10/9)*(0.074)+516</f>
        <v>2032.588888888889</v>
      </c>
      <c r="C17" s="60">
        <v>287</v>
      </c>
      <c r="D17" s="43">
        <v>0</v>
      </c>
      <c r="E17" s="43">
        <v>0</v>
      </c>
      <c r="F17" s="43">
        <v>0</v>
      </c>
      <c r="G17" s="60">
        <v>1303</v>
      </c>
      <c r="H17" s="43">
        <v>0</v>
      </c>
      <c r="I17" s="43"/>
      <c r="J17" s="43"/>
      <c r="K17" s="43"/>
      <c r="L17" s="43"/>
      <c r="M17" s="43"/>
      <c r="N17" s="60">
        <v>524</v>
      </c>
      <c r="O17" s="60">
        <f>SUM(C17:N17)</f>
        <v>2114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/>
      <c r="J18" s="43"/>
      <c r="K18" s="43"/>
      <c r="L18" s="43"/>
      <c r="M18" s="43"/>
      <c r="N18" s="43"/>
      <c r="O18" s="43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111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O19" s="43">
        <f>SUM(C19:N19)</f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60">
        <v>18445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157.90791999999999</v>
      </c>
      <c r="U21" s="3"/>
    </row>
    <row r="22" spans="1:21" ht="16" x14ac:dyDescent="0.2">
      <c r="A22" s="8" t="s">
        <v>24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58">
        <f>SUM(B17:B22)</f>
        <v>20477.588888888888</v>
      </c>
      <c r="C23" s="60">
        <f>SUM(C17:C22)</f>
        <v>287</v>
      </c>
      <c r="D23" s="43">
        <v>0</v>
      </c>
      <c r="E23" s="43">
        <v>0</v>
      </c>
      <c r="F23" s="43">
        <v>0</v>
      </c>
      <c r="G23" s="60">
        <f>SUM(G17:G22)</f>
        <v>1303</v>
      </c>
      <c r="H23" s="43">
        <v>0</v>
      </c>
      <c r="I23" s="43"/>
      <c r="J23" s="43"/>
      <c r="K23" s="43"/>
      <c r="L23" s="43"/>
      <c r="M23" s="43"/>
      <c r="N23" s="60">
        <f>SUM(N17:N22)</f>
        <v>524</v>
      </c>
      <c r="O23" s="60">
        <f>SUM(O17:O22)</f>
        <v>2114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79.335920000000002</v>
      </c>
      <c r="U24" s="14">
        <f>N43</f>
        <v>0.50241887803980956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69</v>
      </c>
      <c r="T25" s="13">
        <f>G42/1000</f>
        <v>46.890999999999998</v>
      </c>
      <c r="U25" s="15">
        <f>G43</f>
        <v>0.29695153985943201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2.0739999999999998</v>
      </c>
      <c r="U27" s="14">
        <f>F43</f>
        <v>1.313423671212945E-2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0</v>
      </c>
      <c r="U28" s="14">
        <f>E43</f>
        <v>0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0</v>
      </c>
      <c r="U29" s="47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2050</v>
      </c>
      <c r="D31" s="43">
        <v>0</v>
      </c>
      <c r="E31" s="43">
        <v>0</v>
      </c>
      <c r="F31" s="43">
        <v>210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858</v>
      </c>
      <c r="O31" s="43">
        <v>3117</v>
      </c>
      <c r="P31" s="17">
        <f>O31/O$39</f>
        <v>1.8613844830880948E-2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61">
        <f>B39-B37-B36-B35-B33</f>
        <v>1944</v>
      </c>
      <c r="C32" s="43">
        <v>819</v>
      </c>
      <c r="D32" s="43">
        <v>0</v>
      </c>
      <c r="E32" s="43">
        <v>0</v>
      </c>
      <c r="F32" s="43">
        <v>0</v>
      </c>
      <c r="G32" s="57">
        <f>G39-G36</f>
        <v>32693</v>
      </c>
      <c r="H32" s="43">
        <v>0</v>
      </c>
      <c r="I32" s="43"/>
      <c r="J32" s="43"/>
      <c r="K32" s="43"/>
      <c r="L32" s="43"/>
      <c r="M32" s="45"/>
      <c r="N32" s="57">
        <v>30927</v>
      </c>
      <c r="O32" s="57">
        <f>SUM(B32:N32)</f>
        <v>66383</v>
      </c>
      <c r="P32" s="17">
        <f>O32/O$39</f>
        <v>0.39642055226447542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59">
        <v>100</v>
      </c>
      <c r="C33" s="43">
        <v>492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7395</v>
      </c>
      <c r="O33" s="46">
        <f>SUM(B33:N33)</f>
        <v>7987</v>
      </c>
      <c r="P33" s="17">
        <f>O33/O$39</f>
        <v>4.7696111217274989E-2</v>
      </c>
      <c r="Q33" s="18" t="s">
        <v>38</v>
      </c>
      <c r="R33" s="3"/>
      <c r="S33" s="3" t="s">
        <v>34</v>
      </c>
      <c r="T33" s="13">
        <f>C42/1000</f>
        <v>29.606999999999999</v>
      </c>
      <c r="U33" s="15">
        <f>C43</f>
        <v>0.18749534538862903</v>
      </c>
    </row>
    <row r="34" spans="1:48" ht="15.75" x14ac:dyDescent="0.25">
      <c r="A34" s="8" t="s">
        <v>39</v>
      </c>
      <c r="B34" s="43">
        <v>0</v>
      </c>
      <c r="C34" s="43">
        <v>25578</v>
      </c>
      <c r="D34" s="43">
        <v>0</v>
      </c>
      <c r="E34" s="43">
        <v>0</v>
      </c>
      <c r="F34" s="43">
        <v>1864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0</v>
      </c>
      <c r="O34" s="43">
        <v>27442</v>
      </c>
      <c r="P34" s="17">
        <f>O34/O$39</f>
        <v>0.16387588381425569</v>
      </c>
      <c r="Q34" s="18" t="s">
        <v>40</v>
      </c>
      <c r="R34" s="3"/>
      <c r="S34" s="3"/>
      <c r="T34" s="13">
        <f>SUM(T24:T32)</f>
        <v>128.30092000000002</v>
      </c>
      <c r="U34" s="14">
        <f>SUM(U24:U32)</f>
        <v>0.812504654611371</v>
      </c>
    </row>
    <row r="35" spans="1:48" ht="16" x14ac:dyDescent="0.2">
      <c r="A35" s="8" t="s">
        <v>41</v>
      </c>
      <c r="B35" s="57">
        <v>56</v>
      </c>
      <c r="C35" s="57">
        <f>C39-C36-C34-C33-C32-C31</f>
        <v>332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6519</v>
      </c>
      <c r="O35" s="43">
        <v>6908</v>
      </c>
      <c r="P35" s="17">
        <f>O35/O$39</f>
        <v>4.1252627555895281E-2</v>
      </c>
      <c r="Q35" s="18" t="s">
        <v>42</v>
      </c>
      <c r="R35" s="18"/>
    </row>
    <row r="36" spans="1:48" ht="16" x14ac:dyDescent="0.2">
      <c r="A36" s="8" t="s">
        <v>43</v>
      </c>
      <c r="B36" s="59">
        <v>100</v>
      </c>
      <c r="C36" s="57">
        <f>O36-N36-G36-B36</f>
        <v>49</v>
      </c>
      <c r="D36" s="43">
        <v>0</v>
      </c>
      <c r="E36" s="43">
        <v>0</v>
      </c>
      <c r="F36" s="43">
        <v>0</v>
      </c>
      <c r="G36" s="43">
        <v>12895</v>
      </c>
      <c r="H36" s="43">
        <v>0</v>
      </c>
      <c r="I36" s="43"/>
      <c r="J36" s="43"/>
      <c r="K36" s="43"/>
      <c r="L36" s="43"/>
      <c r="M36" s="45"/>
      <c r="N36" s="43">
        <v>21412</v>
      </c>
      <c r="O36" s="43">
        <v>34456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59">
        <v>15300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3171</v>
      </c>
      <c r="O37" s="57">
        <f>SUM(B37:N37)</f>
        <v>18471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43">
        <v>2692</v>
      </c>
      <c r="O38" s="43">
        <v>2692</v>
      </c>
      <c r="P38" s="18">
        <f>SUM(P31:P35)</f>
        <v>0.66785901968278238</v>
      </c>
      <c r="Q38" s="18"/>
      <c r="R38" s="3"/>
      <c r="S38" s="7" t="s">
        <v>46</v>
      </c>
      <c r="T38" s="19">
        <f>O45/1000</f>
        <v>8.8155088888888873</v>
      </c>
      <c r="U38" s="7"/>
    </row>
    <row r="39" spans="1:48" ht="16" x14ac:dyDescent="0.2">
      <c r="A39" s="8" t="s">
        <v>15</v>
      </c>
      <c r="B39" s="59">
        <v>17500</v>
      </c>
      <c r="C39" s="43">
        <v>29320</v>
      </c>
      <c r="D39" s="43">
        <v>0</v>
      </c>
      <c r="E39" s="43">
        <v>0</v>
      </c>
      <c r="F39" s="43">
        <v>2074</v>
      </c>
      <c r="G39" s="57">
        <f>O39-N39-F39-C39-B39</f>
        <v>45588</v>
      </c>
      <c r="H39" s="43">
        <v>0</v>
      </c>
      <c r="I39" s="43"/>
      <c r="J39" s="43"/>
      <c r="K39" s="43"/>
      <c r="L39" s="43"/>
      <c r="M39" s="45"/>
      <c r="N39" s="57">
        <f>SUM(N31:N38)</f>
        <v>72974</v>
      </c>
      <c r="O39" s="43">
        <v>167456</v>
      </c>
      <c r="P39" s="3"/>
      <c r="Q39" s="3"/>
      <c r="R39" s="3"/>
      <c r="S39" s="7" t="s">
        <v>47</v>
      </c>
      <c r="T39" s="20">
        <f>O41/1000</f>
        <v>55.619</v>
      </c>
      <c r="U39" s="14">
        <f>P41</f>
        <v>0.33214098031721767</v>
      </c>
    </row>
    <row r="40" spans="1:48" x14ac:dyDescent="0.2">
      <c r="O40" s="10"/>
      <c r="S40" s="7" t="s">
        <v>48</v>
      </c>
      <c r="T40" s="20">
        <f>O35/1000</f>
        <v>6.9080000000000004</v>
      </c>
      <c r="U40" s="15">
        <f>P35</f>
        <v>4.1252627555895281E-2</v>
      </c>
    </row>
    <row r="41" spans="1:48" ht="16" x14ac:dyDescent="0.2">
      <c r="A41" s="21" t="s">
        <v>49</v>
      </c>
      <c r="B41" s="22">
        <f>B38+B37+B36</f>
        <v>15400</v>
      </c>
      <c r="C41" s="22">
        <f t="shared" ref="C41:O41" si="0">C38+C37+C36</f>
        <v>49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12895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27275</v>
      </c>
      <c r="O41" s="22">
        <f t="shared" si="0"/>
        <v>55619</v>
      </c>
      <c r="P41" s="17">
        <f>O41/O$39</f>
        <v>0.33214098031721767</v>
      </c>
      <c r="Q41" s="17" t="s">
        <v>50</v>
      </c>
      <c r="R41" s="7"/>
      <c r="S41" s="7" t="s">
        <v>51</v>
      </c>
      <c r="T41" s="20">
        <f>O33/1000</f>
        <v>7.9870000000000001</v>
      </c>
      <c r="U41" s="14">
        <f>P33</f>
        <v>4.7696111217274989E-2</v>
      </c>
    </row>
    <row r="42" spans="1:48" ht="16" x14ac:dyDescent="0.2">
      <c r="A42" s="23" t="s">
        <v>52</v>
      </c>
      <c r="B42" s="22"/>
      <c r="C42" s="24">
        <f>C39+C23+C10</f>
        <v>29607</v>
      </c>
      <c r="D42" s="24">
        <f t="shared" ref="D42:M42" si="1">D39+D23+D10</f>
        <v>0</v>
      </c>
      <c r="E42" s="24">
        <f t="shared" si="1"/>
        <v>0</v>
      </c>
      <c r="F42" s="24">
        <f t="shared" si="1"/>
        <v>2074</v>
      </c>
      <c r="G42" s="24">
        <f t="shared" si="1"/>
        <v>46891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79335.92</v>
      </c>
      <c r="O42" s="25">
        <f>SUM(C42:N42)</f>
        <v>157907.91999999998</v>
      </c>
      <c r="P42" s="7"/>
      <c r="Q42" s="7"/>
      <c r="R42" s="7"/>
      <c r="S42" s="7" t="s">
        <v>33</v>
      </c>
      <c r="T42" s="20">
        <f>O31/1000</f>
        <v>3.117</v>
      </c>
      <c r="U42" s="14">
        <f>P31</f>
        <v>1.8613844830880948E-2</v>
      </c>
    </row>
    <row r="43" spans="1:48" ht="16" x14ac:dyDescent="0.2">
      <c r="A43" s="23" t="s">
        <v>53</v>
      </c>
      <c r="B43" s="22"/>
      <c r="C43" s="17">
        <f t="shared" ref="C43:N43" si="2">C42/$O42</f>
        <v>0.18749534538862903</v>
      </c>
      <c r="D43" s="17">
        <f t="shared" si="2"/>
        <v>0</v>
      </c>
      <c r="E43" s="17">
        <f t="shared" si="2"/>
        <v>0</v>
      </c>
      <c r="F43" s="17">
        <f t="shared" si="2"/>
        <v>1.313423671212945E-2</v>
      </c>
      <c r="G43" s="17">
        <f t="shared" si="2"/>
        <v>0.29695153985943201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0.50241887803980956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66.382999999999996</v>
      </c>
      <c r="U43" s="15">
        <f>P32</f>
        <v>0.39642055226447542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27.442</v>
      </c>
      <c r="U44" s="15">
        <f>P34</f>
        <v>0.16387588381425569</v>
      </c>
    </row>
    <row r="45" spans="1:48" ht="16" x14ac:dyDescent="0.2">
      <c r="A45" s="6" t="s">
        <v>56</v>
      </c>
      <c r="B45" s="6">
        <f>B23-B39</f>
        <v>2977.5888888888876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5837.92</v>
      </c>
      <c r="O45" s="25">
        <f>B45+N45</f>
        <v>8815.5088888888877</v>
      </c>
      <c r="P45" s="7"/>
      <c r="Q45" s="7"/>
      <c r="R45" s="7"/>
      <c r="S45" s="7" t="s">
        <v>57</v>
      </c>
      <c r="T45" s="20">
        <f>SUM(T39:T44)</f>
        <v>167.45600000000002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9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8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N50" s="9"/>
      <c r="O50" s="43"/>
      <c r="P50" s="43"/>
      <c r="Q50" s="43"/>
      <c r="R50" s="43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O51" s="43"/>
      <c r="P51" s="43"/>
      <c r="Q51" s="43"/>
      <c r="R51" s="43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4"/>
      <c r="B52" s="4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4"/>
      <c r="B53" s="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4"/>
      <c r="B54" s="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27"/>
      <c r="B55" s="4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43"/>
      <c r="Q55" s="43"/>
      <c r="R55" s="43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E56" s="9"/>
      <c r="F56" s="9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E57" s="9"/>
      <c r="F57" s="9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8"/>
    </row>
    <row r="58" spans="1:48" ht="16" x14ac:dyDescent="0.2">
      <c r="A58" s="5"/>
      <c r="B58" s="7"/>
      <c r="C58" s="29"/>
      <c r="D58" s="29"/>
      <c r="E58" s="9"/>
      <c r="F58" s="16"/>
      <c r="G58" s="9"/>
      <c r="H58" s="9"/>
      <c r="I58" s="9"/>
      <c r="J58" s="9"/>
      <c r="K58" s="9"/>
      <c r="L58" s="9"/>
      <c r="M58" s="27"/>
      <c r="N58" s="9"/>
      <c r="O58" s="9"/>
      <c r="P58" s="27"/>
      <c r="Q58" s="27"/>
      <c r="R58" s="4"/>
      <c r="S58" s="7"/>
      <c r="T58" s="6"/>
      <c r="U58" s="38"/>
    </row>
    <row r="59" spans="1:48" ht="16" x14ac:dyDescent="0.2">
      <c r="A59" s="5"/>
      <c r="C59" s="6"/>
      <c r="D59" s="6"/>
      <c r="E59" s="9"/>
      <c r="F59" s="16"/>
      <c r="G59" s="9"/>
      <c r="H59" s="9"/>
      <c r="I59" s="9"/>
      <c r="J59" s="9"/>
      <c r="K59" s="9"/>
      <c r="L59" s="9"/>
      <c r="M59" s="27"/>
      <c r="N59" s="9"/>
      <c r="O59" s="9"/>
      <c r="P59" s="27"/>
      <c r="Q59" s="27"/>
      <c r="R59" s="4"/>
      <c r="S59" s="7"/>
      <c r="T59" s="6"/>
      <c r="U59" s="38"/>
    </row>
    <row r="60" spans="1:48" ht="16" x14ac:dyDescent="0.2">
      <c r="A60" s="5"/>
      <c r="B60" s="113"/>
      <c r="C60" s="6"/>
      <c r="D60" s="6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7"/>
      <c r="T60" s="6"/>
      <c r="U60" s="38"/>
    </row>
    <row r="61" spans="1:48" ht="16" x14ac:dyDescent="0.2">
      <c r="A61" s="5"/>
      <c r="B61" s="113"/>
      <c r="C61" s="6"/>
      <c r="D61" s="32"/>
      <c r="E61" s="29"/>
      <c r="F61" s="29"/>
      <c r="G61" s="29"/>
      <c r="H61" s="29"/>
      <c r="I61" s="29"/>
      <c r="J61" s="29"/>
      <c r="K61" s="29"/>
      <c r="L61" s="6"/>
      <c r="M61" s="30"/>
      <c r="N61" s="7"/>
      <c r="O61" s="6"/>
      <c r="P61" s="14"/>
      <c r="Q61" s="7"/>
      <c r="R61" s="7"/>
      <c r="S61" s="7"/>
      <c r="T61" s="32"/>
      <c r="U61" s="33"/>
    </row>
    <row r="62" spans="1:48" ht="16" x14ac:dyDescent="0.2">
      <c r="A62" s="5"/>
      <c r="B62" s="113"/>
      <c r="C62" s="6"/>
      <c r="E62" s="29"/>
      <c r="F62" s="29"/>
      <c r="G62" s="29"/>
      <c r="H62" s="29"/>
      <c r="I62" s="29"/>
      <c r="J62" s="29"/>
      <c r="K62" s="29"/>
      <c r="L62" s="6"/>
      <c r="M62" s="30"/>
      <c r="N62" s="7"/>
      <c r="O62" s="6"/>
      <c r="P62" s="14"/>
      <c r="Q62" s="7"/>
      <c r="R62" s="7"/>
      <c r="S62" s="7"/>
      <c r="T62" s="7"/>
      <c r="U62" s="6"/>
    </row>
    <row r="63" spans="1:48" ht="16" x14ac:dyDescent="0.2">
      <c r="A63" s="5"/>
      <c r="B63" s="113"/>
      <c r="C63" s="6"/>
      <c r="E63" s="29"/>
      <c r="F63" s="29"/>
      <c r="G63" s="29"/>
      <c r="H63" s="29"/>
      <c r="I63" s="29"/>
      <c r="J63" s="29"/>
      <c r="K63" s="29"/>
      <c r="L63" s="6"/>
      <c r="M63" s="30"/>
      <c r="N63" s="7"/>
      <c r="O63" s="6"/>
      <c r="P63" s="14"/>
      <c r="Q63" s="7"/>
      <c r="R63" s="7"/>
      <c r="S63" s="7"/>
      <c r="T63" s="34"/>
      <c r="U63" s="35"/>
    </row>
    <row r="64" spans="1:48" ht="16" x14ac:dyDescent="0.2">
      <c r="A64" s="5"/>
      <c r="B64" s="113"/>
      <c r="C64" s="6"/>
      <c r="D64" s="10"/>
      <c r="E64" s="7"/>
      <c r="F64" s="7"/>
      <c r="G64" s="7"/>
      <c r="H64" s="7"/>
      <c r="I64" s="7"/>
      <c r="J64" s="7"/>
      <c r="K64" s="7"/>
      <c r="L64" s="6"/>
      <c r="M64" s="30"/>
      <c r="N64" s="7"/>
      <c r="O64" s="6"/>
      <c r="P64" s="14"/>
      <c r="Q64" s="7"/>
      <c r="R64" s="7"/>
      <c r="S64" s="7"/>
      <c r="T64" s="6"/>
      <c r="U64" s="38"/>
    </row>
    <row r="65" spans="1:21" ht="16" x14ac:dyDescent="0.2">
      <c r="C65" s="10"/>
      <c r="E65" s="34"/>
      <c r="F65" s="34"/>
      <c r="G65" s="34"/>
      <c r="H65" s="34"/>
      <c r="I65" s="34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  <c r="U65" s="38"/>
    </row>
    <row r="66" spans="1:21" ht="16" x14ac:dyDescent="0.2"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59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2439*0.95</f>
        <v>2317.0499999999997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59">
        <v>249518</v>
      </c>
      <c r="C6" s="58">
        <v>0</v>
      </c>
      <c r="D6" s="58">
        <v>0</v>
      </c>
      <c r="E6" s="43">
        <v>0</v>
      </c>
      <c r="F6" s="58">
        <v>0</v>
      </c>
      <c r="G6" s="58">
        <v>0</v>
      </c>
      <c r="H6" s="43">
        <v>0</v>
      </c>
      <c r="I6" s="43"/>
      <c r="J6" s="43"/>
      <c r="K6" s="43"/>
      <c r="L6" s="43"/>
      <c r="M6" s="43"/>
      <c r="N6" s="43"/>
      <c r="O6" s="58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43">
        <v>5312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61">
        <v>5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8"/>
      <c r="T9" s="46"/>
      <c r="U9" s="43"/>
      <c r="V9" s="43"/>
      <c r="W9" s="43"/>
      <c r="X9" s="46"/>
      <c r="Y9" s="43"/>
      <c r="Z9" s="43"/>
      <c r="AA9" s="43"/>
      <c r="AB9" s="43"/>
      <c r="AC9" s="43"/>
      <c r="AD9" s="43"/>
      <c r="AE9" s="43"/>
      <c r="AF9" s="43"/>
      <c r="AG9" s="46"/>
      <c r="AH9" s="45"/>
      <c r="AI9" s="45"/>
    </row>
    <row r="10" spans="1:35" ht="16" x14ac:dyDescent="0.2">
      <c r="A10" s="8" t="s">
        <v>15</v>
      </c>
      <c r="B10" s="58">
        <f>SUM(B4:B9)</f>
        <v>257152.05</v>
      </c>
      <c r="C10" s="58">
        <v>0</v>
      </c>
      <c r="D10" s="58">
        <v>0</v>
      </c>
      <c r="E10" s="43">
        <v>0</v>
      </c>
      <c r="F10" s="58">
        <v>0</v>
      </c>
      <c r="G10" s="58">
        <v>0</v>
      </c>
      <c r="H10" s="43">
        <v>0</v>
      </c>
      <c r="I10" s="43"/>
      <c r="J10" s="43"/>
      <c r="K10" s="43"/>
      <c r="L10" s="43"/>
      <c r="M10" s="43"/>
      <c r="N10" s="43"/>
      <c r="O10" s="58">
        <v>0</v>
      </c>
      <c r="P10" s="43"/>
      <c r="Q10" s="45"/>
      <c r="R10" s="45"/>
      <c r="S10" s="8"/>
      <c r="T10" s="46"/>
      <c r="U10" s="43"/>
      <c r="V10" s="43"/>
      <c r="W10" s="43"/>
      <c r="X10" s="46"/>
      <c r="Y10" s="43"/>
      <c r="Z10" s="43"/>
      <c r="AA10" s="43"/>
      <c r="AB10" s="43"/>
      <c r="AC10" s="43"/>
      <c r="AD10" s="43"/>
      <c r="AE10" s="43"/>
      <c r="AF10" s="43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70</v>
      </c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59">
        <v>1601569</v>
      </c>
      <c r="C17" s="60">
        <f>17621+4522</f>
        <v>22143</v>
      </c>
      <c r="D17" s="60">
        <v>203620</v>
      </c>
      <c r="E17" s="111">
        <v>0</v>
      </c>
      <c r="F17" s="59">
        <v>45960</v>
      </c>
      <c r="G17" s="60">
        <v>475190</v>
      </c>
      <c r="H17" s="111">
        <v>0</v>
      </c>
      <c r="I17" s="60"/>
      <c r="J17" s="60">
        <v>62530</v>
      </c>
      <c r="K17" s="60">
        <v>927167</v>
      </c>
      <c r="L17" s="60">
        <v>159635</v>
      </c>
      <c r="M17" s="60"/>
      <c r="N17" s="60">
        <v>5346</v>
      </c>
      <c r="O17" s="59">
        <f>SUM(C17:N17)</f>
        <v>1901591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8">
        <v>0</v>
      </c>
      <c r="C18" s="58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/>
      <c r="J18" s="43"/>
      <c r="K18" s="43"/>
      <c r="L18" s="43"/>
      <c r="M18" s="43"/>
      <c r="N18" s="43"/>
      <c r="O18" s="58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58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58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43">
        <v>372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4514.0159999999996</v>
      </c>
      <c r="U21" s="3"/>
    </row>
    <row r="22" spans="1:21" ht="16" x14ac:dyDescent="0.2">
      <c r="A22" s="8" t="s">
        <v>24</v>
      </c>
      <c r="B22" s="58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57">
        <f>SUM(B17:B22)</f>
        <v>1601941</v>
      </c>
      <c r="C23" s="60">
        <f>SUM(C17:C22)</f>
        <v>22143</v>
      </c>
      <c r="D23" s="60">
        <f>SUM(D17:D22)</f>
        <v>203620</v>
      </c>
      <c r="E23" s="43">
        <v>0</v>
      </c>
      <c r="F23" s="59">
        <f>SUM(F17:F22)</f>
        <v>45960</v>
      </c>
      <c r="G23" s="60">
        <f>SUM(G17:G22)</f>
        <v>475190</v>
      </c>
      <c r="H23" s="43">
        <v>0</v>
      </c>
      <c r="I23" s="43"/>
      <c r="J23" s="60">
        <f>SUM(J17:J22)</f>
        <v>62530</v>
      </c>
      <c r="K23" s="60">
        <f t="shared" ref="K23:O23" si="0">SUM(K17:K22)</f>
        <v>927167</v>
      </c>
      <c r="L23" s="60">
        <f t="shared" si="0"/>
        <v>159635</v>
      </c>
      <c r="M23" s="43"/>
      <c r="N23" s="60">
        <f t="shared" si="0"/>
        <v>5346</v>
      </c>
      <c r="O23" s="60">
        <f t="shared" si="0"/>
        <v>1901591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4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995.39800000000002</v>
      </c>
      <c r="U24" s="14">
        <f>N43</f>
        <v>0.22051273189993123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69</v>
      </c>
      <c r="T25" s="13">
        <f>G42/1000</f>
        <v>523.26499999999999</v>
      </c>
      <c r="U25" s="15">
        <f>G43</f>
        <v>0.11592005876806817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62.53</v>
      </c>
      <c r="U26" s="14">
        <f>J43</f>
        <v>1.3852409916136761E-2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153.989</v>
      </c>
      <c r="U27" s="14">
        <f>F43</f>
        <v>3.4113525516967599E-2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2.2570000000000001</v>
      </c>
      <c r="U28" s="14">
        <f>E43</f>
        <v>4.999982277422145E-4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203.62</v>
      </c>
      <c r="U29" s="47">
        <f>D43</f>
        <v>4.5108391286162917E-2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927.16700000000003</v>
      </c>
      <c r="U30" s="47">
        <f>K43</f>
        <v>0.20539736677938225</v>
      </c>
    </row>
    <row r="31" spans="1:21" ht="15.75" x14ac:dyDescent="0.25">
      <c r="A31" s="8" t="s">
        <v>32</v>
      </c>
      <c r="B31" s="43">
        <v>0</v>
      </c>
      <c r="C31" s="43">
        <v>19634</v>
      </c>
      <c r="D31" s="43">
        <v>0</v>
      </c>
      <c r="E31" s="43">
        <v>0</v>
      </c>
      <c r="F31" s="43">
        <v>2008</v>
      </c>
      <c r="G31" s="43">
        <v>0</v>
      </c>
      <c r="H31" s="43">
        <v>0</v>
      </c>
      <c r="I31" s="43"/>
      <c r="J31" s="43"/>
      <c r="K31" s="43"/>
      <c r="L31" s="43"/>
      <c r="M31" s="45"/>
      <c r="N31" s="43">
        <v>25285</v>
      </c>
      <c r="O31" s="43">
        <v>46927</v>
      </c>
      <c r="P31" s="17">
        <f>O31/O$39</f>
        <v>1.1684931401108607E-2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43">
        <v>101935</v>
      </c>
      <c r="C32" s="43">
        <v>8612</v>
      </c>
      <c r="D32" s="43">
        <v>0</v>
      </c>
      <c r="E32" s="43">
        <v>2257</v>
      </c>
      <c r="F32" s="43">
        <v>0</v>
      </c>
      <c r="G32" s="43">
        <v>75</v>
      </c>
      <c r="H32" s="43">
        <v>0</v>
      </c>
      <c r="I32" s="43"/>
      <c r="J32" s="43"/>
      <c r="K32" s="43"/>
      <c r="L32" s="43"/>
      <c r="M32" s="45"/>
      <c r="N32" s="57">
        <f>N39-N38-N37-N36-N35-N34-N33-N31</f>
        <v>200097</v>
      </c>
      <c r="O32" s="57">
        <f>SUM(B32:N32)</f>
        <v>312976</v>
      </c>
      <c r="P32" s="17">
        <f>O32/O$39</f>
        <v>7.7931746972816671E-2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43">
        <v>178114</v>
      </c>
      <c r="C33" s="43">
        <v>120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43">
        <v>179405</v>
      </c>
      <c r="O33" s="43">
        <v>357638</v>
      </c>
      <c r="P33" s="17">
        <f>O33/O$39</f>
        <v>8.9052688141787892E-2</v>
      </c>
      <c r="Q33" s="18" t="s">
        <v>38</v>
      </c>
      <c r="R33" s="3"/>
      <c r="S33" s="3" t="s">
        <v>34</v>
      </c>
      <c r="T33" s="13">
        <f>C42/1000</f>
        <v>1486.155</v>
      </c>
      <c r="U33" s="15">
        <f>C43</f>
        <v>0.32923122115650455</v>
      </c>
    </row>
    <row r="34" spans="1:48" ht="15.75" x14ac:dyDescent="0.25">
      <c r="A34" s="8" t="s">
        <v>39</v>
      </c>
      <c r="B34" s="43">
        <v>0</v>
      </c>
      <c r="C34" s="43">
        <v>1278938</v>
      </c>
      <c r="D34" s="43">
        <v>0</v>
      </c>
      <c r="E34" s="43">
        <v>0</v>
      </c>
      <c r="F34" s="43">
        <v>106020</v>
      </c>
      <c r="G34" s="43">
        <v>0</v>
      </c>
      <c r="H34" s="43">
        <v>0</v>
      </c>
      <c r="I34" s="43"/>
      <c r="J34" s="43"/>
      <c r="K34" s="43"/>
      <c r="L34" s="43"/>
      <c r="M34" s="45"/>
      <c r="N34" s="43">
        <v>59985</v>
      </c>
      <c r="O34" s="43">
        <v>1444943</v>
      </c>
      <c r="P34" s="17">
        <f>O34/O$39</f>
        <v>0.35979414481028138</v>
      </c>
      <c r="Q34" s="18" t="s">
        <v>40</v>
      </c>
      <c r="R34" s="3"/>
      <c r="S34" s="3"/>
      <c r="T34" s="13">
        <f>SUM(T24:T32)</f>
        <v>2868.2260000000001</v>
      </c>
      <c r="U34" s="14">
        <f>SUM(U24:U32)</f>
        <v>0.63540448239439118</v>
      </c>
    </row>
    <row r="35" spans="1:48" ht="16" x14ac:dyDescent="0.2">
      <c r="A35" s="8" t="s">
        <v>41</v>
      </c>
      <c r="B35" s="43">
        <v>269039</v>
      </c>
      <c r="C35" s="43">
        <v>156478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43">
        <v>356338</v>
      </c>
      <c r="O35" s="43">
        <v>781855</v>
      </c>
      <c r="P35" s="17">
        <f>O35/O$39</f>
        <v>0.19468370108069494</v>
      </c>
      <c r="Q35" s="18" t="s">
        <v>42</v>
      </c>
      <c r="R35" s="18"/>
    </row>
    <row r="36" spans="1:48" ht="16" x14ac:dyDescent="0.2">
      <c r="A36" s="8" t="s">
        <v>43</v>
      </c>
      <c r="B36" s="43">
        <v>230003</v>
      </c>
      <c r="C36" s="43">
        <v>231</v>
      </c>
      <c r="D36" s="43">
        <v>0</v>
      </c>
      <c r="E36" s="43">
        <v>0</v>
      </c>
      <c r="F36" s="43">
        <v>0</v>
      </c>
      <c r="G36" s="43">
        <v>48000</v>
      </c>
      <c r="H36" s="43">
        <v>0</v>
      </c>
      <c r="I36" s="43"/>
      <c r="J36" s="43"/>
      <c r="K36" s="43"/>
      <c r="L36" s="43"/>
      <c r="M36" s="45"/>
      <c r="N36" s="43">
        <v>212254</v>
      </c>
      <c r="O36" s="43">
        <v>490488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43">
        <v>466813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43">
        <v>95610</v>
      </c>
      <c r="O37" s="43">
        <v>562423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57">
        <v>18776</v>
      </c>
      <c r="O38" s="57">
        <f>SUM(B38:N38)</f>
        <v>18776</v>
      </c>
      <c r="P38" s="18">
        <f>SUM(P31:P35)</f>
        <v>0.73314721240668956</v>
      </c>
      <c r="Q38" s="18"/>
      <c r="R38" s="3"/>
      <c r="S38" s="7" t="s">
        <v>46</v>
      </c>
      <c r="T38" s="19">
        <f>O45/1000</f>
        <v>447.85700000000003</v>
      </c>
      <c r="U38" s="7"/>
    </row>
    <row r="39" spans="1:48" ht="16" x14ac:dyDescent="0.2">
      <c r="A39" s="8" t="s">
        <v>15</v>
      </c>
      <c r="B39" s="43">
        <v>1245904</v>
      </c>
      <c r="C39" s="43">
        <v>1464012</v>
      </c>
      <c r="D39" s="43">
        <v>0</v>
      </c>
      <c r="E39" s="43">
        <v>2257</v>
      </c>
      <c r="F39" s="43">
        <v>108029</v>
      </c>
      <c r="G39" s="43">
        <v>48075</v>
      </c>
      <c r="H39" s="43">
        <v>0</v>
      </c>
      <c r="I39" s="43"/>
      <c r="J39" s="43"/>
      <c r="K39" s="43"/>
      <c r="L39" s="43"/>
      <c r="M39" s="45"/>
      <c r="N39" s="43">
        <v>1147750</v>
      </c>
      <c r="O39" s="43">
        <v>4016027</v>
      </c>
      <c r="P39" s="3"/>
      <c r="Q39" s="3"/>
      <c r="R39" s="3"/>
      <c r="S39" s="7" t="s">
        <v>47</v>
      </c>
      <c r="T39" s="20">
        <f>O41/1000</f>
        <v>1071.6869999999999</v>
      </c>
      <c r="U39" s="14">
        <f>P41</f>
        <v>0.2668525385910005</v>
      </c>
    </row>
    <row r="40" spans="1:48" x14ac:dyDescent="0.2">
      <c r="O40" s="10"/>
      <c r="S40" s="7" t="s">
        <v>48</v>
      </c>
      <c r="T40" s="20">
        <f>O35/1000</f>
        <v>781.85500000000002</v>
      </c>
      <c r="U40" s="15">
        <f>P35</f>
        <v>0.19468370108069494</v>
      </c>
    </row>
    <row r="41" spans="1:48" ht="16" x14ac:dyDescent="0.2">
      <c r="A41" s="21" t="s">
        <v>49</v>
      </c>
      <c r="B41" s="22">
        <f>B38+B37+B36</f>
        <v>696816</v>
      </c>
      <c r="C41" s="22">
        <f t="shared" ref="C41:O41" si="1">C38+C37+C36</f>
        <v>231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48000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326640</v>
      </c>
      <c r="O41" s="22">
        <f t="shared" si="1"/>
        <v>1071687</v>
      </c>
      <c r="P41" s="17">
        <f>O41/O$39</f>
        <v>0.2668525385910005</v>
      </c>
      <c r="Q41" s="17" t="s">
        <v>50</v>
      </c>
      <c r="R41" s="7"/>
      <c r="S41" s="7" t="s">
        <v>51</v>
      </c>
      <c r="T41" s="20">
        <f>O33/1000</f>
        <v>357.63799999999998</v>
      </c>
      <c r="U41" s="14">
        <f>P33</f>
        <v>8.9052688141787892E-2</v>
      </c>
    </row>
    <row r="42" spans="1:48" ht="16" x14ac:dyDescent="0.2">
      <c r="A42" s="23" t="s">
        <v>52</v>
      </c>
      <c r="B42" s="22"/>
      <c r="C42" s="24">
        <f>C39+C23+C10</f>
        <v>1486155</v>
      </c>
      <c r="D42" s="24">
        <f t="shared" ref="D42:M42" si="2">D39+D23+D10</f>
        <v>203620</v>
      </c>
      <c r="E42" s="24">
        <f t="shared" si="2"/>
        <v>2257</v>
      </c>
      <c r="F42" s="24">
        <f>F39+F23+F10</f>
        <v>153989</v>
      </c>
      <c r="G42" s="24">
        <f t="shared" si="2"/>
        <v>523265</v>
      </c>
      <c r="H42" s="24">
        <f t="shared" si="2"/>
        <v>0</v>
      </c>
      <c r="I42" s="24">
        <f t="shared" si="2"/>
        <v>0</v>
      </c>
      <c r="J42" s="24">
        <f t="shared" si="2"/>
        <v>62530</v>
      </c>
      <c r="K42" s="24">
        <f t="shared" si="2"/>
        <v>927167</v>
      </c>
      <c r="L42" s="24">
        <f t="shared" si="2"/>
        <v>159635</v>
      </c>
      <c r="M42" s="24">
        <f t="shared" si="2"/>
        <v>0</v>
      </c>
      <c r="N42" s="24">
        <f>N39+N23-B6+N45</f>
        <v>995398</v>
      </c>
      <c r="O42" s="25">
        <f>SUM(C42:N42)</f>
        <v>4514016</v>
      </c>
      <c r="P42" s="7"/>
      <c r="Q42" s="7"/>
      <c r="R42" s="7"/>
      <c r="S42" s="7" t="s">
        <v>33</v>
      </c>
      <c r="T42" s="20">
        <f>O31/1000</f>
        <v>46.927</v>
      </c>
      <c r="U42" s="14">
        <f>P31</f>
        <v>1.1684931401108607E-2</v>
      </c>
    </row>
    <row r="43" spans="1:48" ht="16" x14ac:dyDescent="0.2">
      <c r="A43" s="23" t="s">
        <v>53</v>
      </c>
      <c r="B43" s="22"/>
      <c r="C43" s="17">
        <f t="shared" ref="C43:N43" si="3">C42/$O42</f>
        <v>0.32923122115650455</v>
      </c>
      <c r="D43" s="17">
        <f t="shared" si="3"/>
        <v>4.5108391286162917E-2</v>
      </c>
      <c r="E43" s="17">
        <f t="shared" si="3"/>
        <v>4.999982277422145E-4</v>
      </c>
      <c r="F43" s="17">
        <f t="shared" si="3"/>
        <v>3.4113525516967599E-2</v>
      </c>
      <c r="G43" s="17">
        <f t="shared" si="3"/>
        <v>0.11592005876806817</v>
      </c>
      <c r="H43" s="17">
        <f t="shared" si="3"/>
        <v>0</v>
      </c>
      <c r="I43" s="17">
        <f t="shared" si="3"/>
        <v>0</v>
      </c>
      <c r="J43" s="17">
        <f t="shared" si="3"/>
        <v>1.3852409916136761E-2</v>
      </c>
      <c r="K43" s="17">
        <f t="shared" si="3"/>
        <v>0.20539736677938225</v>
      </c>
      <c r="L43" s="17">
        <f t="shared" si="3"/>
        <v>3.5364296449104299E-2</v>
      </c>
      <c r="M43" s="17">
        <f t="shared" si="3"/>
        <v>0</v>
      </c>
      <c r="N43" s="17">
        <f t="shared" si="3"/>
        <v>0.22051273189993123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312.976</v>
      </c>
      <c r="U43" s="15">
        <f>P32</f>
        <v>7.7931746972816671E-2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1444.943</v>
      </c>
      <c r="U44" s="15">
        <f>P34</f>
        <v>0.35979414481028138</v>
      </c>
    </row>
    <row r="45" spans="1:48" ht="16" x14ac:dyDescent="0.2">
      <c r="A45" s="6" t="s">
        <v>56</v>
      </c>
      <c r="B45" s="6">
        <f>B23-B39-B24</f>
        <v>356037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91820</v>
      </c>
      <c r="O45" s="25">
        <f>B45+N45</f>
        <v>447857</v>
      </c>
      <c r="P45" s="7"/>
      <c r="Q45" s="7"/>
      <c r="R45" s="7"/>
      <c r="S45" s="7" t="s">
        <v>57</v>
      </c>
      <c r="T45" s="20">
        <f>SUM(T39:T44)</f>
        <v>4016.0259999999998</v>
      </c>
      <c r="U45" s="14">
        <f>SUM(U39:U44)</f>
        <v>0.99999975099769001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11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9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workbookViewId="0"/>
  </sheetViews>
  <sheetFormatPr baseColWidth="10" defaultColWidth="8.6640625" defaultRowHeight="15" x14ac:dyDescent="0.2"/>
  <cols>
    <col min="1" max="1" width="21.1640625" style="63" customWidth="1"/>
    <col min="2" max="21" width="8.6640625" style="63" customWidth="1"/>
    <col min="22" max="16384" width="8.6640625" style="63"/>
  </cols>
  <sheetData>
    <row r="1" spans="1:35" ht="19" x14ac:dyDescent="0.25">
      <c r="A1" s="62" t="s">
        <v>0</v>
      </c>
      <c r="P1" s="64"/>
      <c r="Q1" s="64"/>
      <c r="R1" s="64"/>
      <c r="S1" s="64"/>
      <c r="T1" s="64"/>
      <c r="U1" s="64"/>
    </row>
    <row r="2" spans="1:35" ht="15.75" x14ac:dyDescent="0.25">
      <c r="A2" s="65" t="s">
        <v>66</v>
      </c>
      <c r="Q2" s="66"/>
      <c r="R2" s="65"/>
      <c r="AH2" s="66"/>
      <c r="AI2" s="65"/>
    </row>
    <row r="3" spans="1:35" ht="16" x14ac:dyDescent="0.2">
      <c r="A3" s="67">
        <v>2015</v>
      </c>
      <c r="B3" s="68" t="s">
        <v>1</v>
      </c>
      <c r="C3" s="68" t="s">
        <v>34</v>
      </c>
      <c r="D3" s="68" t="s">
        <v>2</v>
      </c>
      <c r="E3" s="68" t="s">
        <v>3</v>
      </c>
      <c r="F3" s="68" t="s">
        <v>18</v>
      </c>
      <c r="G3" s="68" t="s">
        <v>69</v>
      </c>
      <c r="H3" s="68" t="s">
        <v>5</v>
      </c>
      <c r="I3" s="68" t="s">
        <v>4</v>
      </c>
      <c r="J3" s="68" t="s">
        <v>6</v>
      </c>
      <c r="K3" s="68" t="s">
        <v>7</v>
      </c>
      <c r="L3" s="68"/>
      <c r="M3" s="68"/>
      <c r="N3" s="68"/>
      <c r="O3" s="69" t="s">
        <v>10</v>
      </c>
      <c r="Q3" s="66"/>
      <c r="R3" s="66"/>
      <c r="AH3" s="66"/>
      <c r="AI3" s="66"/>
    </row>
    <row r="4" spans="1:35" ht="15.75" x14ac:dyDescent="0.25">
      <c r="A4" s="117" t="s">
        <v>71</v>
      </c>
      <c r="B4" s="118">
        <f>483*0.95</f>
        <v>458.84999999999997</v>
      </c>
      <c r="Q4" s="66"/>
      <c r="R4" s="66"/>
      <c r="AH4" s="66"/>
      <c r="AI4" s="66"/>
    </row>
    <row r="5" spans="1:35" ht="15.75" x14ac:dyDescent="0.25">
      <c r="A5" s="66"/>
      <c r="Q5" s="66"/>
      <c r="R5" s="66"/>
      <c r="AH5" s="66"/>
      <c r="AI5" s="66"/>
    </row>
    <row r="6" spans="1:35" ht="16" x14ac:dyDescent="0.2">
      <c r="A6" s="65" t="s">
        <v>11</v>
      </c>
      <c r="B6" s="59">
        <v>21300</v>
      </c>
      <c r="C6" s="71">
        <v>0</v>
      </c>
      <c r="D6" s="71">
        <v>0</v>
      </c>
      <c r="E6" s="71">
        <v>0</v>
      </c>
      <c r="F6" s="57">
        <v>0</v>
      </c>
      <c r="G6" s="57">
        <v>0</v>
      </c>
      <c r="H6" s="71">
        <v>0</v>
      </c>
      <c r="I6" s="71"/>
      <c r="J6" s="71"/>
      <c r="K6" s="71"/>
      <c r="L6" s="71"/>
      <c r="M6" s="71"/>
      <c r="N6" s="71"/>
      <c r="O6" s="57">
        <v>0</v>
      </c>
      <c r="Q6" s="66"/>
      <c r="R6" s="66"/>
      <c r="AH6" s="66"/>
      <c r="AI6" s="66"/>
    </row>
    <row r="7" spans="1:35" ht="16" x14ac:dyDescent="0.2">
      <c r="A7" s="65" t="s">
        <v>12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/>
      <c r="J7" s="71"/>
      <c r="K7" s="71"/>
      <c r="L7" s="71"/>
      <c r="M7" s="71"/>
      <c r="N7" s="71"/>
      <c r="O7" s="71">
        <v>0</v>
      </c>
      <c r="P7" s="70"/>
      <c r="Q7" s="66"/>
      <c r="R7" s="66"/>
      <c r="AH7" s="66"/>
      <c r="AI7" s="66"/>
    </row>
    <row r="8" spans="1:35" ht="15.75" x14ac:dyDescent="0.25">
      <c r="A8" s="65" t="s">
        <v>13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/>
      <c r="J8" s="71"/>
      <c r="K8" s="71"/>
      <c r="L8" s="71"/>
      <c r="M8" s="71"/>
      <c r="N8" s="71"/>
      <c r="O8" s="71">
        <v>0</v>
      </c>
      <c r="P8" s="70"/>
      <c r="Q8" s="66"/>
      <c r="R8" s="66"/>
      <c r="AH8" s="66"/>
      <c r="AI8" s="66"/>
    </row>
    <row r="9" spans="1:35" ht="15.75" x14ac:dyDescent="0.25">
      <c r="A9" s="65" t="s">
        <v>14</v>
      </c>
      <c r="B9" s="61">
        <v>34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/>
      <c r="J9" s="71"/>
      <c r="K9" s="71"/>
      <c r="L9" s="71"/>
      <c r="M9" s="71"/>
      <c r="N9" s="71"/>
      <c r="O9" s="71">
        <v>0</v>
      </c>
      <c r="P9" s="70"/>
      <c r="Q9" s="66"/>
      <c r="R9" s="66"/>
      <c r="S9" s="65"/>
      <c r="T9" s="70"/>
      <c r="U9" s="71"/>
      <c r="V9" s="71"/>
      <c r="W9" s="71"/>
      <c r="X9" s="70"/>
      <c r="Y9" s="70"/>
      <c r="Z9" s="71"/>
      <c r="AA9" s="71"/>
      <c r="AB9" s="71"/>
      <c r="AC9" s="71"/>
      <c r="AD9" s="71"/>
      <c r="AE9" s="71"/>
      <c r="AF9" s="71"/>
      <c r="AG9" s="70"/>
      <c r="AH9" s="66"/>
      <c r="AI9" s="66"/>
    </row>
    <row r="10" spans="1:35" ht="16" x14ac:dyDescent="0.2">
      <c r="A10" s="65" t="s">
        <v>15</v>
      </c>
      <c r="B10" s="57">
        <f>SUM(B4:B9)</f>
        <v>21792.85</v>
      </c>
      <c r="C10" s="71">
        <v>0</v>
      </c>
      <c r="D10" s="71">
        <v>0</v>
      </c>
      <c r="E10" s="71">
        <v>0</v>
      </c>
      <c r="F10" s="57">
        <v>0</v>
      </c>
      <c r="G10" s="57">
        <v>0</v>
      </c>
      <c r="H10" s="71">
        <v>0</v>
      </c>
      <c r="I10" s="71"/>
      <c r="J10" s="71"/>
      <c r="K10" s="71"/>
      <c r="L10" s="71"/>
      <c r="M10" s="71"/>
      <c r="N10" s="71"/>
      <c r="O10" s="57">
        <v>0</v>
      </c>
      <c r="P10" s="70"/>
      <c r="Q10" s="66"/>
      <c r="R10" s="66"/>
      <c r="S10" s="65"/>
      <c r="T10" s="70"/>
      <c r="U10" s="71"/>
      <c r="V10" s="71"/>
      <c r="W10" s="71"/>
      <c r="X10" s="70"/>
      <c r="Y10" s="70"/>
      <c r="Z10" s="71"/>
      <c r="AA10" s="71"/>
      <c r="AB10" s="71"/>
      <c r="AC10" s="71"/>
      <c r="AD10" s="71"/>
      <c r="AE10" s="71"/>
      <c r="AF10" s="71"/>
      <c r="AG10" s="70"/>
      <c r="AH10" s="66"/>
      <c r="AI10" s="66"/>
    </row>
    <row r="11" spans="1:35" ht="15.75" x14ac:dyDescent="0.2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64"/>
      <c r="Q11" s="64"/>
      <c r="R11" s="64"/>
      <c r="S11" s="64"/>
      <c r="T11" s="64"/>
      <c r="U11" s="64"/>
    </row>
    <row r="12" spans="1:35" ht="15.75" x14ac:dyDescent="0.2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64"/>
      <c r="Q12" s="64"/>
      <c r="R12" s="64"/>
      <c r="S12" s="64"/>
      <c r="T12" s="64"/>
      <c r="U12" s="64"/>
    </row>
    <row r="13" spans="1:35" ht="19" x14ac:dyDescent="0.25">
      <c r="A13" s="62" t="s">
        <v>16</v>
      </c>
      <c r="B13" s="73"/>
      <c r="C13" s="73"/>
      <c r="D13" s="73"/>
      <c r="E13" s="73"/>
      <c r="F13" s="73"/>
      <c r="G13" s="73"/>
      <c r="H13" s="73"/>
      <c r="I13" s="72"/>
      <c r="J13" s="72"/>
      <c r="K13" s="72"/>
      <c r="L13" s="72"/>
      <c r="M13" s="72"/>
      <c r="N13" s="72"/>
      <c r="O13" s="73"/>
      <c r="P13" s="64"/>
      <c r="Q13" s="64"/>
      <c r="R13" s="64"/>
      <c r="S13" s="64"/>
      <c r="T13" s="64"/>
      <c r="U13" s="64"/>
    </row>
    <row r="14" spans="1:35" ht="15.75" x14ac:dyDescent="0.25">
      <c r="A14" s="74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64"/>
      <c r="Q14" s="64"/>
      <c r="R14" s="64"/>
      <c r="S14" s="64"/>
      <c r="T14" s="64"/>
      <c r="U14" s="64"/>
    </row>
    <row r="15" spans="1:35" ht="16" x14ac:dyDescent="0.2">
      <c r="B15" s="68" t="s">
        <v>17</v>
      </c>
      <c r="C15" s="68" t="s">
        <v>34</v>
      </c>
      <c r="D15" s="68" t="s">
        <v>2</v>
      </c>
      <c r="E15" s="68" t="s">
        <v>3</v>
      </c>
      <c r="F15" s="68" t="s">
        <v>18</v>
      </c>
      <c r="G15" s="68" t="s">
        <v>69</v>
      </c>
      <c r="H15" s="68" t="s">
        <v>5</v>
      </c>
      <c r="I15" s="68" t="s">
        <v>4</v>
      </c>
      <c r="J15" s="68" t="s">
        <v>6</v>
      </c>
      <c r="K15" s="68" t="s">
        <v>7</v>
      </c>
      <c r="L15" s="68"/>
      <c r="M15" s="68"/>
      <c r="N15" s="68" t="s">
        <v>9</v>
      </c>
      <c r="O15" s="72" t="s">
        <v>10</v>
      </c>
      <c r="P15" s="64"/>
      <c r="Q15" s="64"/>
      <c r="R15" s="64"/>
      <c r="S15" s="64"/>
      <c r="T15" s="64"/>
      <c r="U15" s="64"/>
    </row>
    <row r="16" spans="1:35" ht="15.75" x14ac:dyDescent="0.2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64"/>
      <c r="Q16" s="64"/>
      <c r="R16" s="64"/>
      <c r="S16" s="64"/>
      <c r="T16" s="64"/>
      <c r="U16" s="64"/>
    </row>
    <row r="17" spans="1:21" ht="16" x14ac:dyDescent="0.2">
      <c r="A17" s="65" t="s">
        <v>19</v>
      </c>
      <c r="B17" s="59">
        <v>114127</v>
      </c>
      <c r="C17" s="71">
        <v>0</v>
      </c>
      <c r="D17" s="71">
        <v>0</v>
      </c>
      <c r="E17" s="71">
        <v>0</v>
      </c>
      <c r="F17" s="59">
        <v>2155</v>
      </c>
      <c r="G17" s="59">
        <v>136455</v>
      </c>
      <c r="H17" s="60">
        <v>1127</v>
      </c>
      <c r="I17" s="71"/>
      <c r="J17" s="71"/>
      <c r="K17" s="71"/>
      <c r="L17" s="71"/>
      <c r="M17" s="71"/>
      <c r="N17" s="71"/>
      <c r="O17" s="59">
        <f>SUM(C17:N17)</f>
        <v>139737</v>
      </c>
      <c r="P17" s="64"/>
      <c r="Q17" s="64"/>
      <c r="R17" s="64"/>
      <c r="S17" s="64"/>
      <c r="T17" s="64"/>
      <c r="U17" s="64"/>
    </row>
    <row r="18" spans="1:21" ht="16" x14ac:dyDescent="0.2">
      <c r="A18" s="65" t="s">
        <v>20</v>
      </c>
      <c r="B18" s="59">
        <v>6566</v>
      </c>
      <c r="C18" s="71">
        <v>0</v>
      </c>
      <c r="D18" s="71">
        <v>0</v>
      </c>
      <c r="E18" s="71">
        <v>0</v>
      </c>
      <c r="F18" s="59">
        <v>202</v>
      </c>
      <c r="G18" s="59">
        <v>7183</v>
      </c>
      <c r="H18" s="71">
        <v>0</v>
      </c>
      <c r="I18" s="71"/>
      <c r="J18" s="71"/>
      <c r="K18" s="71"/>
      <c r="L18" s="71"/>
      <c r="M18" s="71"/>
      <c r="N18" s="60">
        <v>36</v>
      </c>
      <c r="O18" s="59">
        <f>SUM(C18:N18)</f>
        <v>7421</v>
      </c>
      <c r="P18" s="64"/>
      <c r="Q18" s="64"/>
      <c r="R18" s="64"/>
      <c r="S18" s="64"/>
      <c r="T18" s="64"/>
      <c r="U18" s="64"/>
    </row>
    <row r="19" spans="1:21" ht="15.75" x14ac:dyDescent="0.25">
      <c r="A19" s="65" t="s">
        <v>21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/>
      <c r="J19" s="71"/>
      <c r="K19" s="71"/>
      <c r="L19" s="71"/>
      <c r="M19" s="71"/>
      <c r="N19" s="71"/>
      <c r="O19" s="71">
        <v>0</v>
      </c>
      <c r="P19" s="64"/>
      <c r="Q19" s="64"/>
      <c r="R19" s="64"/>
      <c r="S19" s="64"/>
      <c r="T19" s="64"/>
      <c r="U19" s="64"/>
    </row>
    <row r="20" spans="1:21" ht="16" x14ac:dyDescent="0.2">
      <c r="A20" s="65" t="s">
        <v>22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/>
      <c r="J20" s="71"/>
      <c r="K20" s="71"/>
      <c r="L20" s="71"/>
      <c r="M20" s="71"/>
      <c r="N20" s="71"/>
      <c r="O20" s="71">
        <v>0</v>
      </c>
      <c r="P20" s="64"/>
      <c r="Q20" s="64"/>
      <c r="R20" s="64"/>
      <c r="S20" s="64"/>
      <c r="T20" s="64"/>
      <c r="U20" s="64"/>
    </row>
    <row r="21" spans="1:21" ht="16" x14ac:dyDescent="0.2">
      <c r="A21" s="65" t="s">
        <v>23</v>
      </c>
      <c r="B21" s="59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/>
      <c r="J21" s="71"/>
      <c r="K21" s="71"/>
      <c r="L21" s="71"/>
      <c r="M21" s="71"/>
      <c r="N21" s="71"/>
      <c r="O21" s="71">
        <v>0</v>
      </c>
      <c r="P21" s="64"/>
      <c r="Q21" s="64"/>
      <c r="R21" s="64"/>
      <c r="S21" s="64" t="s">
        <v>25</v>
      </c>
      <c r="T21" s="75">
        <f>O42/1000</f>
        <v>598.66003999999998</v>
      </c>
      <c r="U21" s="64"/>
    </row>
    <row r="22" spans="1:21" ht="16" x14ac:dyDescent="0.2">
      <c r="A22" s="65" t="s">
        <v>24</v>
      </c>
      <c r="B22" s="57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/>
      <c r="J22" s="71"/>
      <c r="K22" s="71"/>
      <c r="L22" s="71"/>
      <c r="M22" s="71"/>
      <c r="N22" s="71"/>
      <c r="O22" s="71">
        <v>0</v>
      </c>
      <c r="P22" s="64"/>
      <c r="Q22" s="64"/>
      <c r="R22" s="64"/>
      <c r="S22" s="64"/>
      <c r="T22" s="64"/>
      <c r="U22" s="64"/>
    </row>
    <row r="23" spans="1:21" ht="16" x14ac:dyDescent="0.2">
      <c r="A23" s="65" t="s">
        <v>15</v>
      </c>
      <c r="B23" s="59">
        <f>SUM(B17:B22)</f>
        <v>120693</v>
      </c>
      <c r="C23" s="71">
        <v>0</v>
      </c>
      <c r="D23" s="71">
        <v>0</v>
      </c>
      <c r="E23" s="71">
        <v>0</v>
      </c>
      <c r="F23" s="59">
        <f>SUM(F17:F22)</f>
        <v>2357</v>
      </c>
      <c r="G23" s="59">
        <f>SUM(G17:G22)</f>
        <v>143638</v>
      </c>
      <c r="H23" s="60">
        <f>SUM(H17:H22)</f>
        <v>1127</v>
      </c>
      <c r="I23" s="71"/>
      <c r="J23" s="71"/>
      <c r="K23" s="71"/>
      <c r="L23" s="71"/>
      <c r="M23" s="71"/>
      <c r="N23" s="60">
        <f>SUM(N18:N22)</f>
        <v>36</v>
      </c>
      <c r="O23" s="59">
        <f>SUM(O17:O22)</f>
        <v>147158</v>
      </c>
      <c r="P23" s="64"/>
      <c r="Q23" s="64"/>
      <c r="R23" s="64"/>
      <c r="S23" s="64"/>
      <c r="T23" s="64" t="s">
        <v>26</v>
      </c>
      <c r="U23" s="64" t="s">
        <v>27</v>
      </c>
    </row>
    <row r="24" spans="1:21" ht="15.75" x14ac:dyDescent="0.25">
      <c r="A24" s="55"/>
      <c r="B24" s="108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64"/>
      <c r="Q24" s="64"/>
      <c r="R24" s="64"/>
      <c r="S24" s="64" t="s">
        <v>9</v>
      </c>
      <c r="T24" s="76">
        <f>N42/1000</f>
        <v>166.83204000000001</v>
      </c>
      <c r="U24" s="77">
        <f>N43</f>
        <v>0.27867575727954047</v>
      </c>
    </row>
    <row r="25" spans="1:21" ht="16" x14ac:dyDescent="0.2">
      <c r="B25" s="72"/>
      <c r="C25" s="71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64"/>
      <c r="Q25" s="64"/>
      <c r="R25" s="64"/>
      <c r="S25" s="64" t="s">
        <v>69</v>
      </c>
      <c r="T25" s="76">
        <f>G42/1000</f>
        <v>211.03800000000001</v>
      </c>
      <c r="U25" s="78">
        <f>G43</f>
        <v>0.35251726505747732</v>
      </c>
    </row>
    <row r="26" spans="1:21" ht="15.75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64"/>
      <c r="Q26" s="64"/>
      <c r="R26" s="64"/>
      <c r="S26" s="79" t="str">
        <f>J29</f>
        <v>Torv</v>
      </c>
      <c r="T26" s="76">
        <f>J42/1000</f>
        <v>0</v>
      </c>
      <c r="U26" s="77">
        <f>J43</f>
        <v>0</v>
      </c>
    </row>
    <row r="27" spans="1:21" ht="19" x14ac:dyDescent="0.25">
      <c r="A27" s="62" t="s">
        <v>28</v>
      </c>
      <c r="B27" s="73"/>
      <c r="C27" s="73"/>
      <c r="D27" s="73"/>
      <c r="E27" s="73"/>
      <c r="F27" s="73"/>
      <c r="G27" s="73"/>
      <c r="H27" s="72"/>
      <c r="I27" s="72"/>
      <c r="J27" s="72"/>
      <c r="K27" s="72"/>
      <c r="L27" s="72"/>
      <c r="M27" s="72"/>
      <c r="N27" s="72"/>
      <c r="O27" s="72"/>
      <c r="P27" s="64"/>
      <c r="Q27" s="64"/>
      <c r="R27" s="64"/>
      <c r="S27" s="64" t="s">
        <v>30</v>
      </c>
      <c r="T27" s="76">
        <f>F42/1000</f>
        <v>17.481999999999999</v>
      </c>
      <c r="U27" s="77">
        <f>F43</f>
        <v>2.9201882256914957E-2</v>
      </c>
    </row>
    <row r="28" spans="1:21" ht="15.75" x14ac:dyDescent="0.25">
      <c r="A28" s="74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64"/>
      <c r="Q28" s="64"/>
      <c r="R28" s="64"/>
      <c r="S28" s="64" t="s">
        <v>3</v>
      </c>
      <c r="T28" s="75">
        <f>E42/1000</f>
        <v>0</v>
      </c>
      <c r="U28" s="77">
        <f>E43</f>
        <v>0</v>
      </c>
    </row>
    <row r="29" spans="1:21" ht="16" x14ac:dyDescent="0.2">
      <c r="B29" s="68" t="s">
        <v>29</v>
      </c>
      <c r="C29" s="68" t="s">
        <v>34</v>
      </c>
      <c r="D29" s="68" t="s">
        <v>2</v>
      </c>
      <c r="E29" s="68" t="s">
        <v>3</v>
      </c>
      <c r="F29" s="68" t="s">
        <v>30</v>
      </c>
      <c r="G29" s="68" t="s">
        <v>69</v>
      </c>
      <c r="H29" s="68" t="s">
        <v>5</v>
      </c>
      <c r="I29" s="68" t="s">
        <v>4</v>
      </c>
      <c r="J29" s="68" t="s">
        <v>6</v>
      </c>
      <c r="K29" s="68" t="s">
        <v>7</v>
      </c>
      <c r="L29" s="68" t="s">
        <v>8</v>
      </c>
      <c r="M29" s="68" t="s">
        <v>8</v>
      </c>
      <c r="N29" s="68" t="s">
        <v>9</v>
      </c>
      <c r="O29" s="68" t="s">
        <v>31</v>
      </c>
      <c r="P29" s="64"/>
      <c r="Q29" s="64"/>
      <c r="R29" s="64"/>
      <c r="S29" s="72" t="str">
        <f>D29</f>
        <v>Kol och koks</v>
      </c>
      <c r="T29" s="63">
        <f>D42/1000</f>
        <v>0</v>
      </c>
      <c r="U29" s="80">
        <f>D43</f>
        <v>0</v>
      </c>
    </row>
    <row r="30" spans="1:21" ht="15.75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10"/>
      <c r="O30" s="72"/>
      <c r="P30" s="64"/>
      <c r="Q30" s="64"/>
      <c r="R30" s="64"/>
      <c r="S30" s="72" t="str">
        <f>K29</f>
        <v>Avfall</v>
      </c>
      <c r="T30" s="63">
        <f>K42/1000</f>
        <v>0</v>
      </c>
      <c r="U30" s="80">
        <f>K43</f>
        <v>0</v>
      </c>
    </row>
    <row r="31" spans="1:21" ht="15.75" x14ac:dyDescent="0.25">
      <c r="A31" s="65" t="s">
        <v>32</v>
      </c>
      <c r="B31" s="71">
        <v>0</v>
      </c>
      <c r="C31" s="71">
        <v>22348</v>
      </c>
      <c r="D31" s="71">
        <v>0</v>
      </c>
      <c r="E31" s="71">
        <v>0</v>
      </c>
      <c r="F31" s="71">
        <v>2275</v>
      </c>
      <c r="G31" s="71">
        <v>0</v>
      </c>
      <c r="H31" s="71">
        <v>0</v>
      </c>
      <c r="I31" s="71"/>
      <c r="J31" s="71"/>
      <c r="K31" s="71"/>
      <c r="L31" s="71"/>
      <c r="M31" s="66"/>
      <c r="N31" s="57">
        <v>16364</v>
      </c>
      <c r="O31" s="57">
        <f>SUM(B31:N31)</f>
        <v>40987</v>
      </c>
      <c r="P31" s="81">
        <f>O31/O$39</f>
        <v>7.2661292753016846E-2</v>
      </c>
      <c r="Q31" s="82" t="s">
        <v>33</v>
      </c>
      <c r="R31" s="64"/>
      <c r="S31" s="79" t="str">
        <f>I29</f>
        <v>Avlutar</v>
      </c>
      <c r="T31" s="76">
        <f>I42/1000</f>
        <v>0</v>
      </c>
      <c r="U31" s="77">
        <f>I43</f>
        <v>0</v>
      </c>
    </row>
    <row r="32" spans="1:21" ht="15.75" x14ac:dyDescent="0.25">
      <c r="A32" s="65" t="s">
        <v>35</v>
      </c>
      <c r="B32" s="57">
        <f>O32-N32-C32</f>
        <v>5468.7461254612717</v>
      </c>
      <c r="C32" s="71">
        <v>5885</v>
      </c>
      <c r="D32" s="71">
        <v>0</v>
      </c>
      <c r="E32" s="71">
        <v>0</v>
      </c>
      <c r="F32" s="71">
        <v>0</v>
      </c>
      <c r="G32" s="57">
        <v>0</v>
      </c>
      <c r="H32" s="71">
        <v>0</v>
      </c>
      <c r="I32" s="71"/>
      <c r="J32" s="71"/>
      <c r="K32" s="71"/>
      <c r="L32" s="71"/>
      <c r="M32" s="66"/>
      <c r="N32" s="57">
        <f>N39-N38-N37-N36-N35-N34-N33-N31</f>
        <v>16607.253874538728</v>
      </c>
      <c r="O32" s="71">
        <v>27961</v>
      </c>
      <c r="P32" s="81">
        <f>O32/O$39</f>
        <v>4.9568946413914267E-2</v>
      </c>
      <c r="Q32" s="82" t="s">
        <v>36</v>
      </c>
      <c r="R32" s="64"/>
      <c r="S32" s="79" t="str">
        <f>H29</f>
        <v>Biogas</v>
      </c>
      <c r="T32" s="76">
        <f>H42/1000</f>
        <v>1.127</v>
      </c>
      <c r="U32" s="77">
        <f>H43</f>
        <v>1.8825375416739022E-3</v>
      </c>
    </row>
    <row r="33" spans="1:48" ht="15.75" x14ac:dyDescent="0.25">
      <c r="A33" s="65" t="s">
        <v>37</v>
      </c>
      <c r="B33" s="59">
        <v>24381.694464944649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/>
      <c r="J33" s="71"/>
      <c r="K33" s="71"/>
      <c r="L33" s="71"/>
      <c r="M33" s="66"/>
      <c r="N33" s="57">
        <v>28879</v>
      </c>
      <c r="O33" s="57">
        <f>SUM(B33:N33)</f>
        <v>53260.694464944652</v>
      </c>
      <c r="P33" s="81">
        <f>O33/O$39</f>
        <v>9.4419960298297689E-2</v>
      </c>
      <c r="Q33" s="82" t="s">
        <v>38</v>
      </c>
      <c r="R33" s="64"/>
      <c r="S33" s="64" t="s">
        <v>34</v>
      </c>
      <c r="T33" s="76">
        <f>C42/1000</f>
        <v>202.18100000000004</v>
      </c>
      <c r="U33" s="78">
        <f>C43</f>
        <v>0.33772255786439331</v>
      </c>
    </row>
    <row r="34" spans="1:48" ht="15.75" x14ac:dyDescent="0.25">
      <c r="A34" s="65" t="s">
        <v>39</v>
      </c>
      <c r="B34" s="71">
        <v>0</v>
      </c>
      <c r="C34" s="57">
        <f>O34-N34-F34</f>
        <v>172467</v>
      </c>
      <c r="D34" s="71">
        <v>0</v>
      </c>
      <c r="E34" s="71">
        <v>0</v>
      </c>
      <c r="F34" s="71">
        <v>12850</v>
      </c>
      <c r="G34" s="71">
        <v>0</v>
      </c>
      <c r="H34" s="71">
        <v>0</v>
      </c>
      <c r="I34" s="71"/>
      <c r="J34" s="71"/>
      <c r="K34" s="71"/>
      <c r="L34" s="71"/>
      <c r="M34" s="66"/>
      <c r="N34" s="57">
        <v>821</v>
      </c>
      <c r="O34" s="71">
        <v>186138</v>
      </c>
      <c r="P34" s="81">
        <f>O34/O$39</f>
        <v>0.32998335351357866</v>
      </c>
      <c r="Q34" s="82" t="s">
        <v>40</v>
      </c>
      <c r="R34" s="64"/>
      <c r="S34" s="64"/>
      <c r="T34" s="76">
        <f>SUM(T24:T32)</f>
        <v>396.47904</v>
      </c>
      <c r="U34" s="77">
        <f>SUM(U24:U32)</f>
        <v>0.66227744213560669</v>
      </c>
    </row>
    <row r="35" spans="1:48" ht="16" x14ac:dyDescent="0.2">
      <c r="A35" s="65" t="s">
        <v>41</v>
      </c>
      <c r="B35" s="61">
        <v>15806.999999999982</v>
      </c>
      <c r="C35" s="57">
        <f>O35-N35-B35</f>
        <v>1314.0000000000182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/>
      <c r="J35" s="71"/>
      <c r="K35" s="71"/>
      <c r="L35" s="71"/>
      <c r="M35" s="66"/>
      <c r="N35" s="57">
        <v>26524</v>
      </c>
      <c r="O35" s="71">
        <v>43645</v>
      </c>
      <c r="P35" s="81">
        <f>O35/O$39</f>
        <v>7.7373365267168134E-2</v>
      </c>
      <c r="Q35" s="82" t="s">
        <v>42</v>
      </c>
      <c r="R35" s="82"/>
    </row>
    <row r="36" spans="1:48" ht="16" x14ac:dyDescent="0.2">
      <c r="A36" s="65" t="s">
        <v>43</v>
      </c>
      <c r="B36" s="59">
        <v>12967.334317343173</v>
      </c>
      <c r="C36" s="71">
        <v>167</v>
      </c>
      <c r="D36" s="71">
        <v>0</v>
      </c>
      <c r="E36" s="71">
        <v>0</v>
      </c>
      <c r="F36" s="71">
        <v>0</v>
      </c>
      <c r="G36" s="57">
        <v>67400</v>
      </c>
      <c r="H36" s="71">
        <v>0</v>
      </c>
      <c r="I36" s="71"/>
      <c r="J36" s="71"/>
      <c r="K36" s="71"/>
      <c r="L36" s="71"/>
      <c r="M36" s="66"/>
      <c r="N36" s="57">
        <f>O36-G36-C36-B36</f>
        <v>64881.665682656829</v>
      </c>
      <c r="O36" s="71">
        <v>145416</v>
      </c>
      <c r="P36" s="82"/>
      <c r="Q36" s="82"/>
      <c r="R36" s="64"/>
      <c r="S36" s="69"/>
      <c r="T36" s="69"/>
      <c r="U36" s="69"/>
    </row>
    <row r="37" spans="1:48" ht="15.75" x14ac:dyDescent="0.25">
      <c r="A37" s="65" t="s">
        <v>44</v>
      </c>
      <c r="B37" s="59">
        <v>46589.225092250927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/>
      <c r="J37" s="71"/>
      <c r="K37" s="71"/>
      <c r="L37" s="71"/>
      <c r="M37" s="66"/>
      <c r="N37" s="57">
        <v>11072</v>
      </c>
      <c r="O37" s="57">
        <f>SUM(B37:N37)</f>
        <v>57661.225092250927</v>
      </c>
      <c r="P37" s="82"/>
      <c r="Q37" s="82"/>
      <c r="R37" s="64"/>
      <c r="S37" s="69"/>
      <c r="T37" s="69" t="s">
        <v>26</v>
      </c>
      <c r="U37" s="69" t="s">
        <v>27</v>
      </c>
    </row>
    <row r="38" spans="1:48" ht="16" x14ac:dyDescent="0.2">
      <c r="A38" s="65" t="s">
        <v>45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/>
      <c r="J38" s="71"/>
      <c r="K38" s="71"/>
      <c r="L38" s="71"/>
      <c r="M38" s="66"/>
      <c r="N38" s="57">
        <f>SUM(O38)</f>
        <v>9014.0804428044357</v>
      </c>
      <c r="O38" s="57">
        <f>O39-O37-O36-O35-O34-O33-O32-O31</f>
        <v>9014.0804428044357</v>
      </c>
      <c r="P38" s="82">
        <f>SUM(P31:P35)</f>
        <v>0.62400691824597554</v>
      </c>
      <c r="Q38" s="82"/>
      <c r="R38" s="64"/>
      <c r="S38" s="69" t="s">
        <v>46</v>
      </c>
      <c r="T38" s="83">
        <f>O45/1000</f>
        <v>29.412040000000001</v>
      </c>
      <c r="U38" s="69"/>
    </row>
    <row r="39" spans="1:48" ht="16" x14ac:dyDescent="0.2">
      <c r="A39" s="65" t="s">
        <v>15</v>
      </c>
      <c r="B39" s="71">
        <v>105214</v>
      </c>
      <c r="C39" s="57">
        <f>SUM(C31:C38)</f>
        <v>202181.00000000003</v>
      </c>
      <c r="D39" s="71">
        <v>0</v>
      </c>
      <c r="E39" s="71">
        <v>0</v>
      </c>
      <c r="F39" s="71">
        <v>15125</v>
      </c>
      <c r="G39" s="57">
        <f>SUM(G31:G38)</f>
        <v>67400</v>
      </c>
      <c r="H39" s="71">
        <v>0</v>
      </c>
      <c r="I39" s="71"/>
      <c r="J39" s="71"/>
      <c r="K39" s="71"/>
      <c r="L39" s="71"/>
      <c r="M39" s="66"/>
      <c r="N39" s="71">
        <v>174163</v>
      </c>
      <c r="O39" s="71">
        <v>564083</v>
      </c>
      <c r="P39" s="64"/>
      <c r="Q39" s="64"/>
      <c r="R39" s="64"/>
      <c r="S39" s="69" t="s">
        <v>47</v>
      </c>
      <c r="T39" s="84">
        <f>O41/1000</f>
        <v>212.09130553505534</v>
      </c>
      <c r="U39" s="77">
        <f>P41</f>
        <v>0.37599308175402441</v>
      </c>
    </row>
    <row r="40" spans="1:48" x14ac:dyDescent="0.2">
      <c r="B40" s="72"/>
      <c r="C40" s="72"/>
      <c r="N40" s="72"/>
      <c r="O40" s="72"/>
      <c r="S40" s="69" t="s">
        <v>48</v>
      </c>
      <c r="T40" s="84">
        <f>O35/1000</f>
        <v>43.645000000000003</v>
      </c>
      <c r="U40" s="78">
        <f>P35</f>
        <v>7.7373365267168134E-2</v>
      </c>
    </row>
    <row r="41" spans="1:48" ht="16" x14ac:dyDescent="0.2">
      <c r="A41" s="85" t="s">
        <v>49</v>
      </c>
      <c r="B41" s="86">
        <f>B38+B37+B36</f>
        <v>59556.559409594098</v>
      </c>
      <c r="C41" s="86">
        <f t="shared" ref="C41:O41" si="0">C38+C37+C36</f>
        <v>167</v>
      </c>
      <c r="D41" s="86">
        <f t="shared" si="0"/>
        <v>0</v>
      </c>
      <c r="E41" s="86">
        <f t="shared" si="0"/>
        <v>0</v>
      </c>
      <c r="F41" s="86">
        <f t="shared" si="0"/>
        <v>0</v>
      </c>
      <c r="G41" s="86">
        <f t="shared" si="0"/>
        <v>67400</v>
      </c>
      <c r="H41" s="86">
        <f t="shared" si="0"/>
        <v>0</v>
      </c>
      <c r="I41" s="86">
        <f t="shared" si="0"/>
        <v>0</v>
      </c>
      <c r="J41" s="86">
        <f t="shared" si="0"/>
        <v>0</v>
      </c>
      <c r="K41" s="86">
        <f t="shared" si="0"/>
        <v>0</v>
      </c>
      <c r="L41" s="86">
        <f t="shared" si="0"/>
        <v>0</v>
      </c>
      <c r="M41" s="86">
        <f t="shared" si="0"/>
        <v>0</v>
      </c>
      <c r="N41" s="86">
        <f t="shared" si="0"/>
        <v>84967.746125461272</v>
      </c>
      <c r="O41" s="86">
        <f t="shared" si="0"/>
        <v>212091.30553505535</v>
      </c>
      <c r="P41" s="81">
        <f>O41/O$39</f>
        <v>0.37599308175402441</v>
      </c>
      <c r="Q41" s="81" t="s">
        <v>50</v>
      </c>
      <c r="R41" s="69"/>
      <c r="S41" s="69" t="s">
        <v>51</v>
      </c>
      <c r="T41" s="84">
        <f>O33/1000</f>
        <v>53.260694464944649</v>
      </c>
      <c r="U41" s="77">
        <f>P33</f>
        <v>9.4419960298297689E-2</v>
      </c>
    </row>
    <row r="42" spans="1:48" ht="16" x14ac:dyDescent="0.2">
      <c r="A42" s="87" t="s">
        <v>52</v>
      </c>
      <c r="B42" s="86"/>
      <c r="C42" s="88">
        <f>C39+C23+C10</f>
        <v>202181.00000000003</v>
      </c>
      <c r="D42" s="88">
        <f t="shared" ref="D42:M42" si="1">D39+D23+D10</f>
        <v>0</v>
      </c>
      <c r="E42" s="88">
        <f t="shared" si="1"/>
        <v>0</v>
      </c>
      <c r="F42" s="88">
        <f t="shared" si="1"/>
        <v>17482</v>
      </c>
      <c r="G42" s="88">
        <f t="shared" si="1"/>
        <v>211038</v>
      </c>
      <c r="H42" s="88">
        <f t="shared" si="1"/>
        <v>1127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166832.04</v>
      </c>
      <c r="O42" s="89">
        <f>SUM(C42:N42)</f>
        <v>598660.04</v>
      </c>
      <c r="P42" s="69"/>
      <c r="Q42" s="69"/>
      <c r="R42" s="69"/>
      <c r="S42" s="69" t="s">
        <v>33</v>
      </c>
      <c r="T42" s="84">
        <f>O31/1000</f>
        <v>40.987000000000002</v>
      </c>
      <c r="U42" s="77">
        <f>P31</f>
        <v>7.2661292753016846E-2</v>
      </c>
    </row>
    <row r="43" spans="1:48" ht="16" x14ac:dyDescent="0.2">
      <c r="A43" s="87" t="s">
        <v>53</v>
      </c>
      <c r="B43" s="86"/>
      <c r="C43" s="81">
        <f t="shared" ref="C43:N43" si="2">C42/$O42</f>
        <v>0.33772255786439331</v>
      </c>
      <c r="D43" s="81">
        <f t="shared" si="2"/>
        <v>0</v>
      </c>
      <c r="E43" s="81">
        <f t="shared" si="2"/>
        <v>0</v>
      </c>
      <c r="F43" s="81">
        <f t="shared" si="2"/>
        <v>2.9201882256914957E-2</v>
      </c>
      <c r="G43" s="81">
        <f t="shared" si="2"/>
        <v>0.35251726505747732</v>
      </c>
      <c r="H43" s="81">
        <f t="shared" si="2"/>
        <v>1.8825375416739022E-3</v>
      </c>
      <c r="I43" s="81">
        <f t="shared" si="2"/>
        <v>0</v>
      </c>
      <c r="J43" s="81">
        <f t="shared" si="2"/>
        <v>0</v>
      </c>
      <c r="K43" s="81">
        <f t="shared" si="2"/>
        <v>0</v>
      </c>
      <c r="L43" s="81">
        <f t="shared" si="2"/>
        <v>0</v>
      </c>
      <c r="M43" s="81">
        <f t="shared" si="2"/>
        <v>0</v>
      </c>
      <c r="N43" s="81">
        <f t="shared" si="2"/>
        <v>0.27867575727954047</v>
      </c>
      <c r="O43" s="81">
        <f>SUM(C43:N43)</f>
        <v>1</v>
      </c>
      <c r="P43" s="69"/>
      <c r="Q43" s="69"/>
      <c r="R43" s="69"/>
      <c r="S43" s="69" t="s">
        <v>54</v>
      </c>
      <c r="T43" s="84">
        <f>O32/1000</f>
        <v>27.960999999999999</v>
      </c>
      <c r="U43" s="78">
        <f>P32</f>
        <v>4.9568946413914267E-2</v>
      </c>
    </row>
    <row r="44" spans="1:48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  <c r="Q44" s="69"/>
      <c r="R44" s="69"/>
      <c r="S44" s="69" t="s">
        <v>55</v>
      </c>
      <c r="T44" s="84">
        <f>O34/1000</f>
        <v>186.13800000000001</v>
      </c>
      <c r="U44" s="78">
        <f>P34</f>
        <v>0.32998335351357866</v>
      </c>
    </row>
    <row r="45" spans="1:48" ht="16" x14ac:dyDescent="0.2">
      <c r="A45" s="107" t="s">
        <v>56</v>
      </c>
      <c r="B45" s="68">
        <f>B23-B39</f>
        <v>15479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90">
        <f>N39*0.08</f>
        <v>13933.04</v>
      </c>
      <c r="O45" s="89">
        <f>B45+N45</f>
        <v>29412.04</v>
      </c>
      <c r="P45" s="69"/>
      <c r="Q45" s="69"/>
      <c r="R45" s="69"/>
      <c r="S45" s="69" t="s">
        <v>57</v>
      </c>
      <c r="T45" s="84">
        <f>SUM(T39:T44)</f>
        <v>564.08300000000008</v>
      </c>
      <c r="U45" s="77">
        <f>SUM(U39:U44)</f>
        <v>1</v>
      </c>
    </row>
    <row r="46" spans="1:48" ht="16" x14ac:dyDescent="0.2">
      <c r="A46" s="68"/>
      <c r="B46" s="91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92"/>
      <c r="O46" s="68"/>
      <c r="P46" s="69"/>
      <c r="Q46" s="69"/>
      <c r="R46" s="69"/>
    </row>
    <row r="47" spans="1:48" ht="16" x14ac:dyDescent="0.2">
      <c r="A47" s="74"/>
      <c r="B47" s="93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74"/>
      <c r="S47" s="74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74"/>
      <c r="AI47" s="74"/>
      <c r="AJ47" s="96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</row>
    <row r="48" spans="1:48" x14ac:dyDescent="0.2">
      <c r="A48" s="27"/>
      <c r="B48" s="106"/>
      <c r="C48" s="95"/>
      <c r="D48" s="96"/>
      <c r="E48" s="95"/>
      <c r="F48" s="96"/>
      <c r="G48" s="95"/>
      <c r="H48" s="96"/>
      <c r="I48" s="95"/>
      <c r="J48" s="95"/>
      <c r="K48" s="95"/>
      <c r="L48" s="95"/>
      <c r="M48" s="95"/>
      <c r="N48" s="95"/>
      <c r="O48" s="94"/>
      <c r="P48" s="95"/>
      <c r="Q48" s="95"/>
      <c r="R48" s="95"/>
      <c r="S48" s="74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74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</row>
    <row r="49" spans="1:48" x14ac:dyDescent="0.2">
      <c r="A49" s="95"/>
      <c r="B49" s="7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4"/>
      <c r="P49" s="95"/>
      <c r="Q49" s="95"/>
      <c r="R49" s="95"/>
      <c r="S49" s="74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74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</row>
    <row r="50" spans="1:48" x14ac:dyDescent="0.2">
      <c r="A50" s="95"/>
      <c r="B50" s="7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"/>
      <c r="O50" s="94"/>
      <c r="P50" s="95"/>
      <c r="Q50" s="95"/>
      <c r="R50" s="95"/>
      <c r="S50" s="74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74"/>
      <c r="AJ50" s="96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</row>
    <row r="51" spans="1:48" x14ac:dyDescent="0.2">
      <c r="A51" s="95"/>
      <c r="B51" s="7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4"/>
      <c r="P51" s="95"/>
      <c r="Q51" s="95"/>
      <c r="R51" s="95"/>
      <c r="S51" s="74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74"/>
      <c r="AJ51" s="96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</row>
    <row r="52" spans="1:48" x14ac:dyDescent="0.2">
      <c r="A52" s="95"/>
      <c r="B52" s="74"/>
      <c r="C52" s="95"/>
      <c r="D52" s="96"/>
      <c r="E52" s="95"/>
      <c r="F52" s="95"/>
      <c r="G52" s="95"/>
      <c r="H52" s="96"/>
      <c r="I52" s="95"/>
      <c r="J52" s="95"/>
      <c r="K52" s="95"/>
      <c r="L52" s="95"/>
      <c r="M52" s="95"/>
      <c r="N52" s="95"/>
      <c r="O52" s="94"/>
      <c r="P52" s="95"/>
      <c r="Q52" s="95"/>
      <c r="R52" s="95"/>
      <c r="S52" s="74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74"/>
      <c r="AJ52" s="96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</row>
    <row r="53" spans="1:48" x14ac:dyDescent="0.2">
      <c r="A53" s="95"/>
      <c r="B53" s="7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4"/>
      <c r="P53" s="95"/>
      <c r="Q53" s="95"/>
      <c r="R53" s="95"/>
      <c r="S53" s="74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74"/>
      <c r="AJ53" s="96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</row>
    <row r="54" spans="1:48" x14ac:dyDescent="0.2">
      <c r="A54" s="95"/>
      <c r="B54" s="7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4"/>
      <c r="P54" s="95"/>
      <c r="Q54" s="95"/>
      <c r="R54" s="95"/>
      <c r="S54" s="74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74"/>
      <c r="AJ54" s="96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</row>
    <row r="55" spans="1:48" x14ac:dyDescent="0.2">
      <c r="A55" s="95"/>
      <c r="B55" s="74"/>
      <c r="C55" s="95"/>
      <c r="D55" s="96"/>
      <c r="E55" s="95"/>
      <c r="F55" s="96"/>
      <c r="G55" s="95"/>
      <c r="H55" s="96"/>
      <c r="I55" s="95"/>
      <c r="J55" s="95"/>
      <c r="K55" s="95"/>
      <c r="L55" s="95"/>
      <c r="M55" s="95"/>
      <c r="N55" s="95"/>
      <c r="O55" s="94"/>
      <c r="P55" s="95"/>
      <c r="Q55" s="95"/>
      <c r="R55" s="95"/>
      <c r="S55" s="74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74"/>
      <c r="AJ55" s="96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</row>
    <row r="56" spans="1:48" x14ac:dyDescent="0.2">
      <c r="A56" s="95"/>
      <c r="B56" s="74"/>
      <c r="C56" s="95"/>
      <c r="D56" s="96"/>
      <c r="E56" s="95"/>
      <c r="F56" s="96"/>
      <c r="G56" s="95"/>
      <c r="H56" s="96"/>
      <c r="I56" s="95"/>
      <c r="J56" s="95"/>
      <c r="K56" s="95"/>
      <c r="L56" s="95"/>
      <c r="M56" s="95"/>
      <c r="N56" s="95"/>
      <c r="O56" s="94"/>
      <c r="P56" s="95"/>
      <c r="Q56" s="95"/>
      <c r="R56" s="95"/>
      <c r="S56" s="7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74"/>
      <c r="AJ56" s="96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</row>
    <row r="57" spans="1:48" ht="16" x14ac:dyDescent="0.2">
      <c r="A57" s="69"/>
      <c r="B57" s="69"/>
      <c r="C57" s="97"/>
      <c r="D57" s="97"/>
      <c r="E57" s="97"/>
      <c r="F57" s="97"/>
      <c r="G57" s="97"/>
      <c r="H57" s="97"/>
      <c r="I57" s="97"/>
      <c r="J57" s="97"/>
      <c r="K57" s="97"/>
      <c r="L57" s="68"/>
      <c r="M57" s="68"/>
      <c r="N57" s="98"/>
      <c r="O57" s="94"/>
      <c r="P57" s="68"/>
      <c r="Q57" s="77"/>
      <c r="R57" s="69"/>
      <c r="S57" s="69"/>
      <c r="T57" s="68"/>
      <c r="U57" s="99"/>
    </row>
    <row r="58" spans="1:48" ht="16" x14ac:dyDescent="0.2">
      <c r="A58" s="69"/>
      <c r="B58" s="69"/>
      <c r="C58" s="97"/>
      <c r="D58" s="97"/>
      <c r="E58" s="97"/>
      <c r="F58" s="97"/>
      <c r="G58" s="97"/>
      <c r="H58" s="97"/>
      <c r="I58" s="97"/>
      <c r="J58" s="97"/>
      <c r="K58" s="97"/>
      <c r="L58" s="68"/>
      <c r="M58" s="68"/>
      <c r="N58" s="98"/>
      <c r="O58" s="94"/>
      <c r="P58" s="68"/>
      <c r="Q58" s="77"/>
      <c r="R58" s="69"/>
      <c r="S58" s="69"/>
      <c r="T58" s="68"/>
      <c r="U58" s="99"/>
    </row>
    <row r="59" spans="1:48" ht="16" x14ac:dyDescent="0.2">
      <c r="A59" s="69"/>
      <c r="B59" s="69"/>
      <c r="C59" s="97"/>
      <c r="D59" s="97"/>
      <c r="E59" s="97"/>
      <c r="F59" s="97"/>
      <c r="G59" s="97"/>
      <c r="H59" s="97"/>
      <c r="I59" s="97"/>
      <c r="J59" s="97"/>
      <c r="K59" s="97"/>
      <c r="L59" s="68"/>
      <c r="M59" s="68"/>
      <c r="N59" s="98"/>
      <c r="O59" s="94"/>
      <c r="P59" s="68"/>
      <c r="Q59" s="77"/>
      <c r="R59" s="69"/>
      <c r="S59" s="69"/>
      <c r="T59" s="68"/>
      <c r="U59" s="99"/>
    </row>
    <row r="60" spans="1:48" ht="16" x14ac:dyDescent="0.2">
      <c r="A60" s="87"/>
      <c r="B60" s="69"/>
      <c r="C60" s="97"/>
      <c r="D60" s="97"/>
      <c r="E60" s="97"/>
      <c r="F60" s="97"/>
      <c r="G60" s="97"/>
      <c r="H60" s="97"/>
      <c r="I60" s="97"/>
      <c r="J60" s="97"/>
      <c r="K60" s="97"/>
      <c r="L60" s="68"/>
      <c r="M60" s="68"/>
      <c r="N60" s="98"/>
      <c r="O60" s="69"/>
      <c r="P60" s="68"/>
      <c r="Q60" s="77"/>
      <c r="R60" s="69"/>
      <c r="S60" s="69"/>
      <c r="T60" s="68"/>
      <c r="U60" s="99"/>
    </row>
    <row r="61" spans="1:48" ht="16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8"/>
      <c r="M61" s="68"/>
      <c r="N61" s="98"/>
      <c r="O61" s="69"/>
      <c r="P61" s="68"/>
      <c r="Q61" s="77"/>
      <c r="R61" s="69"/>
      <c r="S61" s="69"/>
      <c r="T61" s="100"/>
      <c r="U61" s="101"/>
    </row>
    <row r="62" spans="1:48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8"/>
    </row>
    <row r="63" spans="1:48" x14ac:dyDescent="0.2">
      <c r="A63" s="69"/>
      <c r="B63" s="102"/>
      <c r="C63" s="102"/>
      <c r="D63" s="102"/>
      <c r="E63" s="102"/>
      <c r="F63" s="102"/>
      <c r="G63" s="102"/>
      <c r="H63" s="102"/>
      <c r="I63" s="102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102"/>
      <c r="U63" s="103"/>
    </row>
    <row r="64" spans="1:48" ht="16" x14ac:dyDescent="0.2">
      <c r="A64" s="69"/>
      <c r="B64" s="68"/>
      <c r="C64" s="68"/>
      <c r="D64" s="68"/>
      <c r="E64" s="68"/>
      <c r="F64" s="68"/>
      <c r="G64" s="68"/>
      <c r="H64" s="68"/>
      <c r="I64" s="68"/>
      <c r="J64" s="69"/>
      <c r="K64" s="69"/>
      <c r="L64" s="69"/>
      <c r="M64" s="69"/>
      <c r="N64" s="69"/>
      <c r="O64" s="69"/>
      <c r="P64" s="68"/>
      <c r="Q64" s="98"/>
      <c r="R64" s="69"/>
      <c r="S64" s="69"/>
      <c r="T64" s="68"/>
      <c r="U64" s="99"/>
    </row>
    <row r="65" spans="1:21" ht="16" x14ac:dyDescent="0.2">
      <c r="A65" s="69"/>
      <c r="B65" s="68"/>
      <c r="C65" s="68"/>
      <c r="D65" s="68"/>
      <c r="E65" s="68"/>
      <c r="F65" s="68"/>
      <c r="G65" s="68"/>
      <c r="H65" s="68"/>
      <c r="I65" s="68"/>
      <c r="J65" s="69"/>
      <c r="K65" s="69"/>
      <c r="L65" s="69"/>
      <c r="M65" s="69"/>
      <c r="N65" s="69"/>
      <c r="O65" s="69"/>
      <c r="P65" s="68"/>
      <c r="Q65" s="98"/>
      <c r="R65" s="69"/>
      <c r="S65" s="69"/>
      <c r="T65" s="68"/>
      <c r="U65" s="99"/>
    </row>
    <row r="66" spans="1:21" ht="16" x14ac:dyDescent="0.2">
      <c r="A66" s="69"/>
      <c r="B66" s="68"/>
      <c r="C66" s="68"/>
      <c r="D66" s="68"/>
      <c r="E66" s="68"/>
      <c r="F66" s="68"/>
      <c r="G66" s="68"/>
      <c r="H66" s="68"/>
      <c r="I66" s="68"/>
      <c r="J66" s="69"/>
      <c r="K66" s="69"/>
      <c r="L66" s="69"/>
      <c r="M66" s="69"/>
      <c r="N66" s="69"/>
      <c r="O66" s="69"/>
      <c r="P66" s="68"/>
      <c r="Q66" s="98"/>
      <c r="R66" s="69"/>
      <c r="S66" s="69"/>
      <c r="T66" s="68"/>
      <c r="U66" s="99"/>
    </row>
    <row r="67" spans="1:21" ht="16" x14ac:dyDescent="0.2">
      <c r="A67" s="69"/>
      <c r="B67" s="68"/>
      <c r="C67" s="68"/>
      <c r="D67" s="68"/>
      <c r="E67" s="68"/>
      <c r="F67" s="68"/>
      <c r="G67" s="68"/>
      <c r="H67" s="68"/>
      <c r="I67" s="68"/>
      <c r="J67" s="69"/>
      <c r="K67" s="69"/>
      <c r="L67" s="69"/>
      <c r="M67" s="69"/>
      <c r="N67" s="69"/>
      <c r="O67" s="69"/>
      <c r="P67" s="68"/>
      <c r="Q67" s="98"/>
      <c r="R67" s="69"/>
      <c r="S67" s="69"/>
      <c r="T67" s="68"/>
      <c r="U67" s="99"/>
    </row>
    <row r="68" spans="1:21" ht="16" x14ac:dyDescent="0.2">
      <c r="A68" s="69"/>
      <c r="B68" s="68"/>
      <c r="C68" s="68"/>
      <c r="D68" s="68"/>
      <c r="E68" s="68"/>
      <c r="F68" s="68"/>
      <c r="G68" s="68"/>
      <c r="H68" s="68"/>
      <c r="I68" s="68"/>
      <c r="J68" s="69"/>
      <c r="K68" s="69"/>
      <c r="L68" s="69"/>
      <c r="M68" s="69"/>
      <c r="N68" s="69"/>
      <c r="O68" s="69"/>
      <c r="P68" s="68"/>
      <c r="Q68" s="98"/>
      <c r="R68" s="69"/>
      <c r="S68" s="69"/>
      <c r="T68" s="68"/>
      <c r="U68" s="99"/>
    </row>
    <row r="69" spans="1:21" ht="16" x14ac:dyDescent="0.2">
      <c r="A69" s="69"/>
      <c r="B69" s="68"/>
      <c r="C69" s="68"/>
      <c r="D69" s="68"/>
      <c r="E69" s="68"/>
      <c r="F69" s="68"/>
      <c r="G69" s="68"/>
      <c r="H69" s="68"/>
      <c r="I69" s="68"/>
      <c r="J69" s="69"/>
      <c r="K69" s="69"/>
      <c r="L69" s="69"/>
      <c r="M69" s="69"/>
      <c r="N69" s="69"/>
      <c r="O69" s="69"/>
      <c r="P69" s="68"/>
      <c r="Q69" s="98"/>
      <c r="R69" s="69"/>
      <c r="S69" s="69"/>
      <c r="T69" s="68"/>
      <c r="U69" s="99"/>
    </row>
    <row r="70" spans="1:21" ht="16" x14ac:dyDescent="0.2">
      <c r="A70" s="69"/>
      <c r="B70" s="100"/>
      <c r="C70" s="100"/>
      <c r="D70" s="100"/>
      <c r="E70" s="100"/>
      <c r="F70" s="100"/>
      <c r="G70" s="100"/>
      <c r="H70" s="100"/>
      <c r="I70" s="100"/>
      <c r="J70" s="69"/>
      <c r="K70" s="69"/>
      <c r="L70" s="69"/>
      <c r="M70" s="69"/>
      <c r="N70" s="69"/>
      <c r="O70" s="69"/>
      <c r="P70" s="100"/>
      <c r="Q70" s="104"/>
      <c r="R70" s="69"/>
      <c r="S70" s="105"/>
      <c r="T70" s="100"/>
      <c r="U70" s="104"/>
    </row>
  </sheetData>
  <pageMargins left="0.75" right="0.75" top="0.75" bottom="0.5" header="0.5" footer="0.75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AV70"/>
  <sheetViews>
    <sheetView workbookViewId="0"/>
  </sheetViews>
  <sheetFormatPr baseColWidth="10" defaultColWidth="8.6640625" defaultRowHeight="15" x14ac:dyDescent="0.2"/>
  <cols>
    <col min="1" max="1" width="21.1640625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60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69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45"/>
      <c r="R3" s="45"/>
      <c r="AH3" s="45"/>
      <c r="AI3" s="45"/>
    </row>
    <row r="4" spans="1:35" ht="15.75" x14ac:dyDescent="0.25">
      <c r="A4" s="117" t="s">
        <v>71</v>
      </c>
      <c r="B4" s="118">
        <f>17*0.95</f>
        <v>16.149999999999999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11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43"/>
      <c r="L6" s="43"/>
      <c r="M6" s="43"/>
      <c r="N6" s="43"/>
      <c r="O6" s="43">
        <v>0</v>
      </c>
      <c r="Q6" s="45"/>
      <c r="R6" s="45"/>
      <c r="AH6" s="45"/>
      <c r="AI6" s="45"/>
    </row>
    <row r="7" spans="1:35" ht="16" x14ac:dyDescent="0.2">
      <c r="A7" s="8" t="s">
        <v>12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/>
      <c r="K7" s="43"/>
      <c r="L7" s="43"/>
      <c r="M7" s="43"/>
      <c r="N7" s="43"/>
      <c r="O7" s="43">
        <v>0</v>
      </c>
      <c r="P7" s="43"/>
      <c r="Q7" s="45"/>
      <c r="R7" s="45"/>
      <c r="AH7" s="45"/>
      <c r="AI7" s="45"/>
    </row>
    <row r="8" spans="1:35" ht="15.75" x14ac:dyDescent="0.25">
      <c r="A8" s="8" t="s">
        <v>13</v>
      </c>
      <c r="B8" s="43">
        <v>31515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/>
      <c r="K8" s="43"/>
      <c r="L8" s="43"/>
      <c r="M8" s="43"/>
      <c r="N8" s="43"/>
      <c r="O8" s="43">
        <v>0</v>
      </c>
      <c r="P8" s="43"/>
      <c r="Q8" s="45"/>
      <c r="R8" s="45"/>
      <c r="AH8" s="45"/>
      <c r="AI8" s="45"/>
    </row>
    <row r="9" spans="1:35" ht="15.75" x14ac:dyDescent="0.25">
      <c r="A9" s="8" t="s">
        <v>14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>
        <v>0</v>
      </c>
      <c r="P9" s="43"/>
      <c r="Q9" s="45"/>
      <c r="R9" s="45"/>
      <c r="S9" s="8"/>
      <c r="T9" s="43"/>
      <c r="U9" s="46"/>
      <c r="V9" s="46"/>
      <c r="W9" s="43"/>
      <c r="X9" s="46"/>
      <c r="Y9" s="46"/>
      <c r="Z9" s="43"/>
      <c r="AA9" s="43"/>
      <c r="AB9" s="43"/>
      <c r="AC9" s="43"/>
      <c r="AD9" s="43"/>
      <c r="AE9" s="43"/>
      <c r="AF9" s="43"/>
      <c r="AG9" s="46"/>
      <c r="AH9" s="45"/>
      <c r="AI9" s="45"/>
    </row>
    <row r="10" spans="1:35" ht="16" x14ac:dyDescent="0.2">
      <c r="A10" s="8" t="s">
        <v>15</v>
      </c>
      <c r="B10" s="58">
        <f>SUM(B4:B9)</f>
        <v>31531.15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3"/>
      <c r="K10" s="43"/>
      <c r="L10" s="43"/>
      <c r="M10" s="43"/>
      <c r="N10" s="43"/>
      <c r="O10" s="43">
        <v>0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69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9">
        <f>85300</f>
        <v>85300</v>
      </c>
      <c r="C18" s="59">
        <v>171</v>
      </c>
      <c r="D18" s="59">
        <v>0</v>
      </c>
      <c r="E18" s="43">
        <v>0</v>
      </c>
      <c r="F18" s="59">
        <v>3750</v>
      </c>
      <c r="G18" s="59">
        <v>67904</v>
      </c>
      <c r="H18" s="43">
        <v>0</v>
      </c>
      <c r="I18" s="43"/>
      <c r="J18" s="60">
        <v>6669</v>
      </c>
      <c r="K18" s="43"/>
      <c r="L18" s="43"/>
      <c r="M18" s="43"/>
      <c r="N18" s="60">
        <f>2334+1446+10025</f>
        <v>13805</v>
      </c>
      <c r="O18" s="59">
        <f>SUM(C18:N18)</f>
        <v>92299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21</v>
      </c>
      <c r="B19" s="114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3"/>
      <c r="K19" s="43"/>
      <c r="L19" s="43"/>
      <c r="M19" s="43"/>
      <c r="O19" s="111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111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58"/>
      <c r="O20" s="111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59">
        <v>16700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>
        <v>0</v>
      </c>
      <c r="P21" s="3"/>
      <c r="Q21" s="3"/>
      <c r="R21" s="3"/>
      <c r="S21" s="3" t="s">
        <v>25</v>
      </c>
      <c r="T21" s="12">
        <f>O42/1000</f>
        <v>657.32104000000004</v>
      </c>
      <c r="U21" s="3"/>
    </row>
    <row r="22" spans="1:21" ht="16" x14ac:dyDescent="0.2">
      <c r="A22" s="8" t="s">
        <v>24</v>
      </c>
      <c r="B22" s="114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60">
        <f>SUM(B17:B22)</f>
        <v>102000</v>
      </c>
      <c r="C23" s="59">
        <f>SUM(C17:C22)</f>
        <v>171</v>
      </c>
      <c r="D23" s="59">
        <f>SUM(D17:D22)</f>
        <v>0</v>
      </c>
      <c r="E23" s="43">
        <v>0</v>
      </c>
      <c r="F23" s="59">
        <f>SUM(F17:F22)</f>
        <v>3750</v>
      </c>
      <c r="G23" s="59">
        <f>SUM(G17:G22)</f>
        <v>67904</v>
      </c>
      <c r="H23" s="43">
        <v>0</v>
      </c>
      <c r="I23" s="43"/>
      <c r="J23" s="60">
        <f>SUM(J18:J22)</f>
        <v>6669</v>
      </c>
      <c r="K23" s="43"/>
      <c r="L23" s="43"/>
      <c r="M23" s="43"/>
      <c r="N23" s="60">
        <f>SUM(N18:N22)</f>
        <v>13805</v>
      </c>
      <c r="O23" s="59">
        <f>SUM(O18:O22)</f>
        <v>92299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258.65503999999999</v>
      </c>
      <c r="U24" s="14">
        <f>N43</f>
        <v>0.39349879930817366</v>
      </c>
    </row>
    <row r="25" spans="1:21" ht="16" x14ac:dyDescent="0.2">
      <c r="B25" s="10"/>
      <c r="C25" s="10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9"/>
      <c r="P25" s="3"/>
      <c r="Q25" s="3"/>
      <c r="R25" s="3"/>
      <c r="S25" s="3" t="s">
        <v>69</v>
      </c>
      <c r="T25" s="13">
        <f>G42/1000</f>
        <v>100.71599999999999</v>
      </c>
      <c r="U25" s="15">
        <f>G43</f>
        <v>0.1532219324669723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6" t="str">
        <f>J29</f>
        <v>Torv</v>
      </c>
      <c r="T26" s="13">
        <f>J42/1000</f>
        <v>6.6689999999999996</v>
      </c>
      <c r="U26" s="14">
        <f>J43</f>
        <v>1.014572726897651E-2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24.37</v>
      </c>
      <c r="U27" s="14">
        <f>F43</f>
        <v>3.7074729876286933E-2</v>
      </c>
    </row>
    <row r="28" spans="1:21" ht="15.75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31.425000000000001</v>
      </c>
      <c r="U28" s="14">
        <f>E43</f>
        <v>4.780768922291001E-2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69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10" t="str">
        <f>D29</f>
        <v>Kol och koks</v>
      </c>
      <c r="T29" s="2">
        <f>D42/1000</f>
        <v>0</v>
      </c>
      <c r="U29" s="47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47">
        <f>K43</f>
        <v>0</v>
      </c>
    </row>
    <row r="31" spans="1:21" ht="15.75" x14ac:dyDescent="0.25">
      <c r="A31" s="8" t="s">
        <v>32</v>
      </c>
      <c r="B31" s="43">
        <v>0</v>
      </c>
      <c r="C31" s="43">
        <v>448</v>
      </c>
      <c r="D31" s="43">
        <v>0</v>
      </c>
      <c r="E31" s="43">
        <v>0</v>
      </c>
      <c r="F31" s="43">
        <v>46</v>
      </c>
      <c r="G31" s="43">
        <v>0</v>
      </c>
      <c r="H31" s="43">
        <v>0</v>
      </c>
      <c r="I31" s="43"/>
      <c r="J31" s="43"/>
      <c r="K31" s="43"/>
      <c r="L31" s="43"/>
      <c r="M31" s="45"/>
      <c r="N31" s="57">
        <v>728</v>
      </c>
      <c r="O31" s="57">
        <f>SUM(B31:N31)</f>
        <v>1222</v>
      </c>
      <c r="P31" s="17">
        <f>O31/O$39</f>
        <v>1.9164028084240174E-3</v>
      </c>
      <c r="Q31" s="18" t="s">
        <v>33</v>
      </c>
      <c r="R31" s="3"/>
      <c r="S31" s="56" t="str">
        <f>I29</f>
        <v>Avlutar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35</v>
      </c>
      <c r="B32" s="57">
        <v>17440</v>
      </c>
      <c r="C32" s="43">
        <v>350</v>
      </c>
      <c r="D32" s="43">
        <v>0</v>
      </c>
      <c r="E32" s="57">
        <v>31425</v>
      </c>
      <c r="F32" s="43">
        <v>0</v>
      </c>
      <c r="G32" s="57">
        <v>18412</v>
      </c>
      <c r="H32" s="43">
        <v>0</v>
      </c>
      <c r="I32" s="43"/>
      <c r="J32" s="43"/>
      <c r="K32" s="43"/>
      <c r="L32" s="43"/>
      <c r="M32" s="45"/>
      <c r="N32" s="57">
        <f>N39-N38-N37-N36-N35-N34-N33-N31</f>
        <v>137652</v>
      </c>
      <c r="O32" s="43">
        <v>205279</v>
      </c>
      <c r="P32" s="17">
        <f>O32/O$39</f>
        <v>0.32192901154703263</v>
      </c>
      <c r="Q32" s="18" t="s">
        <v>36</v>
      </c>
      <c r="R32" s="3"/>
      <c r="S32" s="56" t="str">
        <f>H29</f>
        <v>Biogas</v>
      </c>
      <c r="T32" s="13">
        <f>H42/1000</f>
        <v>0</v>
      </c>
      <c r="U32" s="14">
        <f>H43</f>
        <v>0</v>
      </c>
    </row>
    <row r="33" spans="1:48" ht="15.75" x14ac:dyDescent="0.25">
      <c r="A33" s="8" t="s">
        <v>37</v>
      </c>
      <c r="B33" s="57">
        <f>B39-B32-B35-B36-B37</f>
        <v>14562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/>
      <c r="K33" s="43"/>
      <c r="L33" s="43"/>
      <c r="M33" s="45"/>
      <c r="N33" s="57">
        <v>14815</v>
      </c>
      <c r="O33" s="57">
        <f>SUM(B33:N33)</f>
        <v>29377</v>
      </c>
      <c r="P33" s="17">
        <f>O33/O$39</f>
        <v>4.6070511704641867E-2</v>
      </c>
      <c r="Q33" s="18" t="s">
        <v>38</v>
      </c>
      <c r="R33" s="3"/>
      <c r="S33" s="3" t="s">
        <v>34</v>
      </c>
      <c r="T33" s="13">
        <f>C42/1000</f>
        <v>235.48599999999999</v>
      </c>
      <c r="U33" s="15">
        <f>C43</f>
        <v>0.35825112185668057</v>
      </c>
    </row>
    <row r="34" spans="1:48" ht="15.75" x14ac:dyDescent="0.25">
      <c r="A34" s="8" t="s">
        <v>39</v>
      </c>
      <c r="B34" s="43">
        <v>0</v>
      </c>
      <c r="C34" s="57">
        <f>O34-N34-F34</f>
        <v>232967</v>
      </c>
      <c r="D34" s="43">
        <v>0</v>
      </c>
      <c r="E34" s="43">
        <v>0</v>
      </c>
      <c r="F34" s="43">
        <v>20574</v>
      </c>
      <c r="G34" s="43">
        <v>0</v>
      </c>
      <c r="H34" s="43">
        <v>0</v>
      </c>
      <c r="I34" s="43"/>
      <c r="J34" s="43"/>
      <c r="K34" s="43"/>
      <c r="L34" s="43"/>
      <c r="M34" s="45"/>
      <c r="N34" s="57">
        <v>220</v>
      </c>
      <c r="O34" s="43">
        <v>253761</v>
      </c>
      <c r="P34" s="17">
        <f>O34/O$39</f>
        <v>0.39796095995784542</v>
      </c>
      <c r="Q34" s="18" t="s">
        <v>40</v>
      </c>
      <c r="R34" s="3"/>
      <c r="S34" s="3"/>
      <c r="T34" s="13">
        <f>SUM(T24:T32)</f>
        <v>421.83503999999999</v>
      </c>
      <c r="U34" s="14">
        <f>SUM(U24:U32)</f>
        <v>0.64174887814331938</v>
      </c>
    </row>
    <row r="35" spans="1:48" ht="16" x14ac:dyDescent="0.2">
      <c r="A35" s="8" t="s">
        <v>41</v>
      </c>
      <c r="B35" s="57">
        <f>O35-N35-C35</f>
        <v>12866</v>
      </c>
      <c r="C35" s="57">
        <f>C39-C36-C34-C32-C31</f>
        <v>1460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/>
      <c r="J35" s="43"/>
      <c r="K35" s="43"/>
      <c r="L35" s="43"/>
      <c r="M35" s="45"/>
      <c r="N35" s="57">
        <v>26741</v>
      </c>
      <c r="O35" s="43">
        <v>41067</v>
      </c>
      <c r="P35" s="17">
        <f>O35/O$39</f>
        <v>6.4403366721398625E-2</v>
      </c>
      <c r="Q35" s="18" t="s">
        <v>42</v>
      </c>
      <c r="R35" s="18"/>
    </row>
    <row r="36" spans="1:48" ht="16" x14ac:dyDescent="0.2">
      <c r="A36" s="8" t="s">
        <v>43</v>
      </c>
      <c r="B36" s="59">
        <v>2400</v>
      </c>
      <c r="C36" s="43">
        <v>90</v>
      </c>
      <c r="D36" s="43">
        <v>0</v>
      </c>
      <c r="E36" s="43">
        <v>0</v>
      </c>
      <c r="F36" s="43">
        <v>0</v>
      </c>
      <c r="G36" s="57">
        <v>14400</v>
      </c>
      <c r="H36" s="43">
        <v>0</v>
      </c>
      <c r="I36" s="43"/>
      <c r="J36" s="43"/>
      <c r="K36" s="43"/>
      <c r="L36" s="43"/>
      <c r="M36" s="45"/>
      <c r="N36" s="57">
        <f>O36-G36-B36-C36</f>
        <v>36925</v>
      </c>
      <c r="O36" s="43">
        <v>53815</v>
      </c>
      <c r="P36" s="18"/>
      <c r="Q36" s="18"/>
      <c r="R36" s="3"/>
      <c r="S36" s="7"/>
      <c r="T36" s="7"/>
      <c r="U36" s="7"/>
    </row>
    <row r="37" spans="1:48" ht="15.75" x14ac:dyDescent="0.25">
      <c r="A37" s="8" t="s">
        <v>44</v>
      </c>
      <c r="B37" s="59">
        <v>43500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5"/>
      <c r="N37" s="57">
        <v>5153</v>
      </c>
      <c r="O37" s="57">
        <f>SUM(B37:N37)</f>
        <v>48653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5"/>
      <c r="N38" s="57">
        <f>SUM(O38)</f>
        <v>4479</v>
      </c>
      <c r="O38" s="57">
        <f>O39-O37-O36-O35-O34-O33-O32-O31</f>
        <v>4479</v>
      </c>
      <c r="P38" s="18">
        <f>SUM(P31:P35)</f>
        <v>0.83228025273934247</v>
      </c>
      <c r="Q38" s="18"/>
      <c r="R38" s="3"/>
      <c r="S38" s="7" t="s">
        <v>46</v>
      </c>
      <c r="T38" s="19">
        <f>O45/1000</f>
        <v>29.369040000000002</v>
      </c>
      <c r="U38" s="7"/>
    </row>
    <row r="39" spans="1:48" ht="16" x14ac:dyDescent="0.2">
      <c r="A39" s="8" t="s">
        <v>15</v>
      </c>
      <c r="B39" s="43">
        <v>90768</v>
      </c>
      <c r="C39" s="43">
        <v>235315</v>
      </c>
      <c r="D39" s="43">
        <v>0</v>
      </c>
      <c r="E39" s="57">
        <f>SUM(E31:E38)</f>
        <v>31425</v>
      </c>
      <c r="F39" s="43">
        <v>20620</v>
      </c>
      <c r="G39" s="57">
        <f>SUM(G31:G38)</f>
        <v>32812</v>
      </c>
      <c r="H39" s="43">
        <v>0</v>
      </c>
      <c r="I39" s="43"/>
      <c r="J39" s="43"/>
      <c r="K39" s="43"/>
      <c r="L39" s="43"/>
      <c r="M39" s="45"/>
      <c r="N39" s="43">
        <v>226713</v>
      </c>
      <c r="O39" s="43">
        <v>637653</v>
      </c>
      <c r="P39" s="3"/>
      <c r="Q39" s="3"/>
      <c r="R39" s="3"/>
      <c r="S39" s="7" t="s">
        <v>47</v>
      </c>
      <c r="T39" s="20">
        <f>O41/1000</f>
        <v>106.947</v>
      </c>
      <c r="U39" s="14">
        <f>P41</f>
        <v>0.16771974726065744</v>
      </c>
    </row>
    <row r="40" spans="1:48" x14ac:dyDescent="0.2">
      <c r="N40" s="10"/>
      <c r="O40" s="10"/>
      <c r="P40" s="10"/>
      <c r="S40" s="7" t="s">
        <v>48</v>
      </c>
      <c r="T40" s="20">
        <f>O35/1000</f>
        <v>41.067</v>
      </c>
      <c r="U40" s="15">
        <f>P35</f>
        <v>6.4403366721398625E-2</v>
      </c>
    </row>
    <row r="41" spans="1:48" ht="16" x14ac:dyDescent="0.2">
      <c r="A41" s="21" t="s">
        <v>49</v>
      </c>
      <c r="B41" s="22">
        <f>B38+B37+B36</f>
        <v>45900</v>
      </c>
      <c r="C41" s="22">
        <f t="shared" ref="C41:O41" si="0">C38+C37+C36</f>
        <v>90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14400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46557</v>
      </c>
      <c r="O41" s="22">
        <f t="shared" si="0"/>
        <v>106947</v>
      </c>
      <c r="P41" s="17">
        <f>O41/O$39</f>
        <v>0.16771974726065744</v>
      </c>
      <c r="Q41" s="17" t="s">
        <v>50</v>
      </c>
      <c r="R41" s="7"/>
      <c r="S41" s="7" t="s">
        <v>51</v>
      </c>
      <c r="T41" s="20">
        <f>O33/1000</f>
        <v>29.376999999999999</v>
      </c>
      <c r="U41" s="14">
        <f>P33</f>
        <v>4.6070511704641867E-2</v>
      </c>
    </row>
    <row r="42" spans="1:48" ht="16" x14ac:dyDescent="0.2">
      <c r="A42" s="23" t="s">
        <v>52</v>
      </c>
      <c r="B42" s="22"/>
      <c r="C42" s="24">
        <f>C39+C23+C10</f>
        <v>235486</v>
      </c>
      <c r="D42" s="24">
        <f t="shared" ref="D42:M42" si="1">D39+D23+D10</f>
        <v>0</v>
      </c>
      <c r="E42" s="24">
        <f t="shared" si="1"/>
        <v>31425</v>
      </c>
      <c r="F42" s="24">
        <f t="shared" si="1"/>
        <v>24370</v>
      </c>
      <c r="G42" s="24">
        <f t="shared" si="1"/>
        <v>100716</v>
      </c>
      <c r="H42" s="24">
        <f t="shared" si="1"/>
        <v>0</v>
      </c>
      <c r="I42" s="24">
        <f t="shared" si="1"/>
        <v>0</v>
      </c>
      <c r="J42" s="24">
        <f t="shared" si="1"/>
        <v>6669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258655.04</v>
      </c>
      <c r="O42" s="25">
        <f>SUM(C42:N42)</f>
        <v>657321.04</v>
      </c>
      <c r="P42" s="7"/>
      <c r="Q42" s="7"/>
      <c r="R42" s="7"/>
      <c r="S42" s="7" t="s">
        <v>33</v>
      </c>
      <c r="T42" s="20">
        <f>O31/1000</f>
        <v>1.222</v>
      </c>
      <c r="U42" s="14">
        <f>P31</f>
        <v>1.9164028084240174E-3</v>
      </c>
    </row>
    <row r="43" spans="1:48" ht="16" x14ac:dyDescent="0.2">
      <c r="A43" s="23" t="s">
        <v>53</v>
      </c>
      <c r="B43" s="22"/>
      <c r="C43" s="17">
        <f t="shared" ref="C43:N43" si="2">C42/$O42</f>
        <v>0.35825112185668057</v>
      </c>
      <c r="D43" s="17">
        <f t="shared" si="2"/>
        <v>0</v>
      </c>
      <c r="E43" s="17">
        <f t="shared" si="2"/>
        <v>4.780768922291001E-2</v>
      </c>
      <c r="F43" s="17">
        <f t="shared" si="2"/>
        <v>3.7074729876286933E-2</v>
      </c>
      <c r="G43" s="17">
        <f t="shared" si="2"/>
        <v>0.1532219324669723</v>
      </c>
      <c r="H43" s="17">
        <f t="shared" si="2"/>
        <v>0</v>
      </c>
      <c r="I43" s="17">
        <f t="shared" si="2"/>
        <v>0</v>
      </c>
      <c r="J43" s="17">
        <f t="shared" si="2"/>
        <v>1.014572726897651E-2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0.39349879930817366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205.279</v>
      </c>
      <c r="U43" s="15">
        <f>P32</f>
        <v>0.32192901154703263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253.761</v>
      </c>
      <c r="U44" s="15">
        <f>P34</f>
        <v>0.39796095995784542</v>
      </c>
    </row>
    <row r="45" spans="1:48" ht="16" x14ac:dyDescent="0.2">
      <c r="A45" s="6" t="s">
        <v>56</v>
      </c>
      <c r="B45" s="6">
        <f>B23-B39</f>
        <v>11232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18137.04</v>
      </c>
      <c r="O45" s="25">
        <f>B45+N45</f>
        <v>29369.040000000001</v>
      </c>
      <c r="P45" s="7"/>
      <c r="Q45" s="7"/>
      <c r="R45" s="7"/>
      <c r="S45" s="7" t="s">
        <v>57</v>
      </c>
      <c r="T45" s="20">
        <f>SUM(T39:T44)</f>
        <v>637.65300000000002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4"/>
      <c r="B52" s="27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4"/>
      <c r="B53" s="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4"/>
      <c r="B54" s="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27"/>
      <c r="B55" s="4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43"/>
      <c r="Q55" s="43"/>
      <c r="R55" s="43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E56" s="9"/>
      <c r="F56" s="9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E57" s="9"/>
      <c r="F57" s="9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1"/>
    </row>
    <row r="58" spans="1:48" ht="16" x14ac:dyDescent="0.2">
      <c r="A58" s="5"/>
      <c r="B58" s="7"/>
      <c r="C58" s="29"/>
      <c r="D58" s="29"/>
      <c r="E58" s="9"/>
      <c r="F58" s="16"/>
      <c r="G58" s="9"/>
      <c r="H58" s="9"/>
      <c r="I58" s="9"/>
      <c r="J58" s="9"/>
      <c r="K58" s="9"/>
      <c r="L58" s="9"/>
      <c r="M58" s="27"/>
      <c r="N58" s="9"/>
      <c r="O58" s="9"/>
      <c r="P58" s="27"/>
      <c r="Q58" s="27"/>
      <c r="R58" s="4"/>
      <c r="S58" s="7"/>
      <c r="T58" s="6"/>
      <c r="U58" s="31"/>
    </row>
    <row r="59" spans="1:48" ht="16" x14ac:dyDescent="0.2">
      <c r="A59" s="5"/>
      <c r="C59" s="6"/>
      <c r="D59" s="6"/>
      <c r="E59" s="9"/>
      <c r="F59" s="16"/>
      <c r="G59" s="9"/>
      <c r="H59" s="9"/>
      <c r="I59" s="9"/>
      <c r="J59" s="9"/>
      <c r="K59" s="9"/>
      <c r="L59" s="9"/>
      <c r="M59" s="27"/>
      <c r="N59" s="9"/>
      <c r="O59" s="9"/>
      <c r="P59" s="27"/>
      <c r="Q59" s="27"/>
      <c r="R59" s="4"/>
      <c r="S59" s="7"/>
      <c r="T59" s="6"/>
      <c r="U59" s="31"/>
    </row>
    <row r="60" spans="1:48" ht="16" x14ac:dyDescent="0.2">
      <c r="A60" s="5"/>
      <c r="B60" s="113"/>
      <c r="C60" s="6"/>
      <c r="D60" s="6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7"/>
      <c r="T60" s="6"/>
      <c r="U60" s="31"/>
    </row>
    <row r="61" spans="1:48" ht="16" x14ac:dyDescent="0.2">
      <c r="A61" s="5"/>
      <c r="B61" s="113"/>
      <c r="C61" s="6"/>
      <c r="D61" s="32"/>
      <c r="E61" s="29"/>
      <c r="F61" s="29"/>
      <c r="G61" s="29"/>
      <c r="H61" s="29"/>
      <c r="I61" s="29"/>
      <c r="J61" s="29"/>
      <c r="K61" s="29"/>
      <c r="L61" s="6"/>
      <c r="M61" s="30"/>
      <c r="N61" s="7"/>
      <c r="O61" s="6"/>
      <c r="P61" s="14"/>
      <c r="Q61" s="7"/>
      <c r="R61" s="7"/>
      <c r="S61" s="7"/>
      <c r="T61" s="32"/>
      <c r="U61" s="33"/>
    </row>
    <row r="62" spans="1:48" ht="16" x14ac:dyDescent="0.2">
      <c r="A62" s="5"/>
      <c r="B62" s="113"/>
      <c r="C62" s="6"/>
      <c r="E62" s="29"/>
      <c r="F62" s="29"/>
      <c r="G62" s="29"/>
      <c r="H62" s="29"/>
      <c r="I62" s="29"/>
      <c r="J62" s="29"/>
      <c r="K62" s="29"/>
      <c r="L62" s="6"/>
      <c r="M62" s="30"/>
      <c r="N62" s="7"/>
      <c r="O62" s="6"/>
      <c r="P62" s="14"/>
      <c r="Q62" s="7"/>
      <c r="R62" s="7"/>
      <c r="S62" s="7"/>
      <c r="T62" s="7"/>
      <c r="U62" s="6"/>
    </row>
    <row r="63" spans="1:48" ht="16" x14ac:dyDescent="0.2">
      <c r="A63" s="5"/>
      <c r="B63" s="113"/>
      <c r="C63" s="6"/>
      <c r="E63" s="29"/>
      <c r="F63" s="29"/>
      <c r="G63" s="29"/>
      <c r="H63" s="29"/>
      <c r="I63" s="29"/>
      <c r="J63" s="29"/>
      <c r="K63" s="29"/>
      <c r="L63" s="6"/>
      <c r="M63" s="30"/>
      <c r="N63" s="7"/>
      <c r="O63" s="6"/>
      <c r="P63" s="14"/>
      <c r="Q63" s="7"/>
      <c r="R63" s="7"/>
      <c r="S63" s="7"/>
      <c r="T63" s="34"/>
      <c r="U63" s="35"/>
    </row>
    <row r="64" spans="1:48" ht="16" x14ac:dyDescent="0.2">
      <c r="A64" s="5"/>
      <c r="B64" s="113"/>
      <c r="C64" s="6"/>
      <c r="D64" s="10"/>
      <c r="E64" s="7"/>
      <c r="F64" s="7"/>
      <c r="G64" s="7"/>
      <c r="H64" s="7"/>
      <c r="I64" s="7"/>
      <c r="J64" s="7"/>
      <c r="K64" s="7"/>
      <c r="L64" s="6"/>
      <c r="M64" s="30"/>
      <c r="N64" s="7"/>
      <c r="O64" s="6"/>
      <c r="P64" s="14"/>
      <c r="Q64" s="7"/>
      <c r="R64" s="7"/>
      <c r="S64" s="7"/>
      <c r="T64" s="6"/>
      <c r="U64" s="31"/>
    </row>
    <row r="65" spans="1:21" ht="16" x14ac:dyDescent="0.2">
      <c r="C65" s="10"/>
      <c r="E65" s="34"/>
      <c r="F65" s="34"/>
      <c r="G65" s="34"/>
      <c r="H65" s="34"/>
      <c r="I65" s="34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1F0B54D-1B0A-4FD9-BF83-00121C9E519B}"/>
</file>

<file path=customXml/itemProps2.xml><?xml version="1.0" encoding="utf-8"?>
<ds:datastoreItem xmlns:ds="http://schemas.openxmlformats.org/officeDocument/2006/customXml" ds:itemID="{C0EB071C-415A-4E7A-AA64-2A6EC36B7D5F}"/>
</file>

<file path=customXml/itemProps3.xml><?xml version="1.0" encoding="utf-8"?>
<ds:datastoreItem xmlns:ds="http://schemas.openxmlformats.org/officeDocument/2006/customXml" ds:itemID="{679089CA-1A30-409B-9670-FE1FACF7D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Västmanland</vt:lpstr>
      <vt:lpstr>Skinnskatteberg</vt:lpstr>
      <vt:lpstr>Surahammar</vt:lpstr>
      <vt:lpstr>Kungsör</vt:lpstr>
      <vt:lpstr>Hallstahammar</vt:lpstr>
      <vt:lpstr>Norberg</vt:lpstr>
      <vt:lpstr>Västerås</vt:lpstr>
      <vt:lpstr>Sala</vt:lpstr>
      <vt:lpstr>Fagersta</vt:lpstr>
      <vt:lpstr>Köping</vt:lpstr>
      <vt:lpstr>Arboga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2016-02-06T13:07:12Z</dcterms:created>
  <dcterms:modified xsi:type="dcterms:W3CDTF">2017-08-28T11:14:30Z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