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omments11.xml" ContentType="application/vnd.openxmlformats-officedocument.spreadsheetml.comments+xml"/>
  <Override PartName="/xl/comments10.xml" ContentType="application/vnd.openxmlformats-officedocument.spreadsheetml.comments+xml"/>
  <Override PartName="/xl/comments4.xml" ContentType="application/vnd.openxmlformats-officedocument.spreadsheetml.comments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xl/comments5.xml" ContentType="application/vnd.openxmlformats-officedocument.spreadsheetml.comments+xml"/>
  <Override PartName="/xl/comments7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omments6.xml" ContentType="application/vnd.openxmlformats-officedocument.spreadsheetml.comments+xml"/>
  <Override PartName="/xl/comments17.xml" ContentType="application/vnd.openxmlformats-officedocument.spreadsheetml.comments+xml"/>
  <Override PartName="/xl/comments16.xml" ContentType="application/vnd.openxmlformats-officedocument.spreadsheetml.comments+xml"/>
  <Override PartName="/xl/comments1.xml" ContentType="application/vnd.openxmlformats-officedocument.spreadsheetml.comments+xml"/>
  <Override PartName="/xl/comments15.xml" ContentType="application/vnd.openxmlformats-officedocument.spreadsheetml.comments+xml"/>
  <Override PartName="/xl/comments14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576\Documents\HIFAB\länsstyrelsen energibalanser\Bearbetat statistik\Värmland\Värmland 2016-04-30\"/>
    </mc:Choice>
  </mc:AlternateContent>
  <bookViews>
    <workbookView xWindow="0" yWindow="0" windowWidth="28800" windowHeight="12435" tabRatio="785" firstSheet="1" activeTab="17"/>
  </bookViews>
  <sheets>
    <sheet name="Värmlands län" sheetId="1" r:id="rId1"/>
    <sheet name="sammanställning sankey" sheetId="18" r:id="rId2"/>
    <sheet name="Arvika" sheetId="2" r:id="rId3"/>
    <sheet name="Eda" sheetId="3" r:id="rId4"/>
    <sheet name="Filipstad" sheetId="4" r:id="rId5"/>
    <sheet name="Forshaga" sheetId="5" r:id="rId6"/>
    <sheet name="Grums" sheetId="6" r:id="rId7"/>
    <sheet name="Hagfors" sheetId="7" r:id="rId8"/>
    <sheet name="Hammarö" sheetId="8" r:id="rId9"/>
    <sheet name="Karlstad" sheetId="9" r:id="rId10"/>
    <sheet name="Kil" sheetId="10" r:id="rId11"/>
    <sheet name="Kristinehamn" sheetId="11" r:id="rId12"/>
    <sheet name="Munkfors" sheetId="12" r:id="rId13"/>
    <sheet name="Storfors" sheetId="13" r:id="rId14"/>
    <sheet name="Sunne" sheetId="14" r:id="rId15"/>
    <sheet name="Säffle" sheetId="15" r:id="rId16"/>
    <sheet name="Torsby" sheetId="16" r:id="rId17"/>
    <sheet name="Årjäng" sheetId="17" r:id="rId18"/>
  </sheets>
  <externalReferences>
    <externalReference r:id="rId1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7" l="1"/>
  <c r="M20" i="16"/>
  <c r="M20" i="15"/>
  <c r="M20" i="14"/>
  <c r="M20" i="13"/>
  <c r="M20" i="12"/>
  <c r="M20" i="11"/>
  <c r="M20" i="10"/>
  <c r="M20" i="9"/>
  <c r="M20" i="8"/>
  <c r="M20" i="7"/>
  <c r="M20" i="6"/>
  <c r="M20" i="5"/>
  <c r="M20" i="4"/>
  <c r="M20" i="3"/>
  <c r="M20" i="2"/>
  <c r="K10" i="17" l="1"/>
  <c r="J10" i="17"/>
  <c r="H10" i="3" l="1"/>
  <c r="F42" i="1" l="1"/>
  <c r="G43" i="8"/>
  <c r="M40" i="1"/>
  <c r="F42" i="15"/>
  <c r="L40" i="11" l="1"/>
  <c r="F43" i="11"/>
  <c r="F42" i="11"/>
  <c r="F40" i="11"/>
  <c r="F43" i="6"/>
  <c r="F42" i="6"/>
  <c r="T37" i="16" l="1"/>
  <c r="J27" i="13" l="1"/>
  <c r="G40" i="8" l="1"/>
  <c r="F40" i="8"/>
  <c r="F9" i="8" l="1"/>
  <c r="E9" i="8"/>
  <c r="D9" i="8"/>
  <c r="C9" i="8"/>
  <c r="F8" i="8"/>
  <c r="E8" i="8"/>
  <c r="D8" i="8"/>
  <c r="C8" i="8"/>
  <c r="F7" i="8"/>
  <c r="E7" i="8"/>
  <c r="D7" i="8"/>
  <c r="C7" i="8"/>
  <c r="F6" i="8"/>
  <c r="E6" i="8"/>
  <c r="D6" i="8"/>
  <c r="C6" i="8"/>
  <c r="F5" i="8"/>
  <c r="E5" i="8"/>
  <c r="D5" i="8"/>
  <c r="C5" i="8"/>
  <c r="F4" i="8"/>
  <c r="F10" i="8" s="1"/>
  <c r="E4" i="8"/>
  <c r="E10" i="8" s="1"/>
  <c r="D4" i="8"/>
  <c r="D10" i="8" s="1"/>
  <c r="C4" i="8"/>
  <c r="C10" i="8" s="1"/>
  <c r="T37" i="5" l="1"/>
  <c r="S9" i="4"/>
  <c r="S6" i="4"/>
  <c r="S5" i="4"/>
  <c r="S4" i="4"/>
  <c r="J27" i="3" l="1"/>
  <c r="T37" i="2"/>
  <c r="I35" i="1" l="1"/>
  <c r="F109" i="18"/>
  <c r="F13" i="18"/>
  <c r="O20" i="1"/>
  <c r="S30" i="1"/>
  <c r="O17" i="1"/>
  <c r="O15" i="1"/>
  <c r="M17" i="1"/>
  <c r="M16" i="1"/>
  <c r="F111" i="18" s="1"/>
  <c r="G112" i="18" s="1"/>
  <c r="M15" i="1"/>
  <c r="O16" i="1"/>
  <c r="F110" i="18"/>
  <c r="B113" i="18"/>
  <c r="B114" i="18" s="1"/>
  <c r="B112" i="18"/>
  <c r="B111" i="18"/>
  <c r="B110" i="18"/>
  <c r="B109" i="18"/>
  <c r="G104" i="18"/>
  <c r="F100" i="18"/>
  <c r="F86" i="18"/>
  <c r="F82" i="18"/>
  <c r="G86" i="18" s="1"/>
  <c r="F83" i="18"/>
  <c r="F84" i="18"/>
  <c r="F85" i="18"/>
  <c r="F81" i="18"/>
  <c r="F79" i="18"/>
  <c r="F78" i="18"/>
  <c r="F73" i="18"/>
  <c r="F72" i="18"/>
  <c r="F71" i="18"/>
  <c r="F69" i="18"/>
  <c r="F64" i="18"/>
  <c r="F63" i="18"/>
  <c r="F57" i="18"/>
  <c r="E35" i="1"/>
  <c r="I23" i="1"/>
  <c r="F56" i="18"/>
  <c r="F54" i="18" s="1"/>
  <c r="F52" i="18"/>
  <c r="F50" i="18"/>
  <c r="F47" i="18" s="1"/>
  <c r="F43" i="18"/>
  <c r="F42" i="18"/>
  <c r="F27" i="18"/>
  <c r="F25" i="18"/>
  <c r="F24" i="18"/>
  <c r="F19" i="18"/>
  <c r="L21" i="1"/>
  <c r="F14" i="18"/>
  <c r="F15" i="18"/>
  <c r="F16" i="18"/>
  <c r="F17" i="18"/>
  <c r="B15" i="18"/>
  <c r="B14" i="18"/>
  <c r="B13" i="18"/>
  <c r="B12" i="18"/>
  <c r="B6" i="18"/>
  <c r="B4" i="18"/>
  <c r="F34" i="18"/>
  <c r="F30" i="18"/>
  <c r="J15" i="18"/>
  <c r="J6" i="18"/>
  <c r="J4" i="18"/>
  <c r="S34" i="17"/>
  <c r="S33" i="17"/>
  <c r="S30" i="17"/>
  <c r="S28" i="17"/>
  <c r="S19" i="17"/>
  <c r="S16" i="17"/>
  <c r="S15" i="17"/>
  <c r="T15" i="17" s="1"/>
  <c r="S14" i="17"/>
  <c r="S12" i="17"/>
  <c r="T12" i="17" s="1"/>
  <c r="S11" i="17"/>
  <c r="T11" i="17" s="1"/>
  <c r="S10" i="17"/>
  <c r="T10" i="17" s="1"/>
  <c r="S9" i="17"/>
  <c r="T9" i="17" s="1"/>
  <c r="S8" i="17"/>
  <c r="S7" i="17"/>
  <c r="T7" i="17" s="1"/>
  <c r="S6" i="17"/>
  <c r="T6" i="17" s="1"/>
  <c r="S5" i="17"/>
  <c r="T5" i="17" s="1"/>
  <c r="S4" i="17"/>
  <c r="T34" i="17"/>
  <c r="T33" i="17"/>
  <c r="T30" i="17"/>
  <c r="T27" i="17"/>
  <c r="T19" i="17"/>
  <c r="T16" i="17"/>
  <c r="T14" i="17"/>
  <c r="T8" i="17"/>
  <c r="T4" i="17"/>
  <c r="S34" i="16"/>
  <c r="T34" i="16" s="1"/>
  <c r="S33" i="16"/>
  <c r="T33" i="16" s="1"/>
  <c r="S32" i="16"/>
  <c r="T32" i="16" s="1"/>
  <c r="S31" i="16"/>
  <c r="T31" i="16" s="1"/>
  <c r="S30" i="16"/>
  <c r="T30" i="16" s="1"/>
  <c r="S29" i="16"/>
  <c r="T29" i="16" s="1"/>
  <c r="S28" i="16"/>
  <c r="T28" i="16" s="1"/>
  <c r="T27" i="16"/>
  <c r="T25" i="16"/>
  <c r="S25" i="16"/>
  <c r="S24" i="16"/>
  <c r="T24" i="16" s="1"/>
  <c r="T23" i="16"/>
  <c r="S23" i="16"/>
  <c r="S22" i="16"/>
  <c r="T22" i="16" s="1"/>
  <c r="T21" i="16"/>
  <c r="S21" i="16"/>
  <c r="S20" i="16"/>
  <c r="T20" i="16" s="1"/>
  <c r="T19" i="16"/>
  <c r="S19" i="16"/>
  <c r="T16" i="16"/>
  <c r="S16" i="16"/>
  <c r="S15" i="16"/>
  <c r="T15" i="16" s="1"/>
  <c r="T14" i="16"/>
  <c r="S14" i="16"/>
  <c r="T12" i="16"/>
  <c r="S12" i="16"/>
  <c r="S11" i="16"/>
  <c r="T11" i="16" s="1"/>
  <c r="T10" i="16"/>
  <c r="S10" i="16"/>
  <c r="S9" i="16"/>
  <c r="T9" i="16" s="1"/>
  <c r="T8" i="16"/>
  <c r="S8" i="16"/>
  <c r="S7" i="16"/>
  <c r="T7" i="16" s="1"/>
  <c r="T6" i="16"/>
  <c r="S6" i="16"/>
  <c r="S5" i="16"/>
  <c r="T5" i="16" s="1"/>
  <c r="T4" i="16"/>
  <c r="S4" i="16"/>
  <c r="S34" i="15"/>
  <c r="T34" i="15" s="1"/>
  <c r="S33" i="15"/>
  <c r="T33" i="15" s="1"/>
  <c r="S32" i="15"/>
  <c r="T32" i="15" s="1"/>
  <c r="S31" i="15"/>
  <c r="T31" i="15" s="1"/>
  <c r="S30" i="15"/>
  <c r="T30" i="15" s="1"/>
  <c r="S29" i="15"/>
  <c r="T29" i="15" s="1"/>
  <c r="S28" i="15"/>
  <c r="S35" i="15" s="1"/>
  <c r="T27" i="15"/>
  <c r="T25" i="15"/>
  <c r="S25" i="15"/>
  <c r="S24" i="15"/>
  <c r="T24" i="15" s="1"/>
  <c r="T23" i="15"/>
  <c r="S23" i="15"/>
  <c r="S22" i="15"/>
  <c r="T22" i="15" s="1"/>
  <c r="T21" i="15"/>
  <c r="S21" i="15"/>
  <c r="S20" i="15"/>
  <c r="T20" i="15" s="1"/>
  <c r="T19" i="15"/>
  <c r="S19" i="15"/>
  <c r="T16" i="15"/>
  <c r="S16" i="15"/>
  <c r="S15" i="15"/>
  <c r="T15" i="15" s="1"/>
  <c r="T14" i="15"/>
  <c r="S14" i="15"/>
  <c r="T12" i="15"/>
  <c r="S12" i="15"/>
  <c r="S11" i="15"/>
  <c r="T11" i="15" s="1"/>
  <c r="T10" i="15"/>
  <c r="S10" i="15"/>
  <c r="S9" i="15"/>
  <c r="T9" i="15" s="1"/>
  <c r="T8" i="15"/>
  <c r="S8" i="15"/>
  <c r="S7" i="15"/>
  <c r="T7" i="15" s="1"/>
  <c r="T6" i="15"/>
  <c r="S6" i="15"/>
  <c r="S5" i="15"/>
  <c r="T5" i="15" s="1"/>
  <c r="T4" i="15"/>
  <c r="S4" i="15"/>
  <c r="S34" i="14"/>
  <c r="T34" i="14" s="1"/>
  <c r="T33" i="14"/>
  <c r="S33" i="14"/>
  <c r="S30" i="14"/>
  <c r="T30" i="14" s="1"/>
  <c r="T27" i="14"/>
  <c r="S16" i="14"/>
  <c r="T16" i="14" s="1"/>
  <c r="S15" i="14"/>
  <c r="T15" i="14" s="1"/>
  <c r="S14" i="14"/>
  <c r="T14" i="14" s="1"/>
  <c r="S12" i="14"/>
  <c r="T12" i="14" s="1"/>
  <c r="S11" i="14"/>
  <c r="T11" i="14" s="1"/>
  <c r="S10" i="14"/>
  <c r="T10" i="14" s="1"/>
  <c r="S9" i="14"/>
  <c r="T9" i="14" s="1"/>
  <c r="S8" i="14"/>
  <c r="T8" i="14" s="1"/>
  <c r="S7" i="14"/>
  <c r="T7" i="14" s="1"/>
  <c r="S6" i="14"/>
  <c r="T6" i="14" s="1"/>
  <c r="S4" i="14"/>
  <c r="S34" i="13"/>
  <c r="T34" i="13" s="1"/>
  <c r="T33" i="13"/>
  <c r="S33" i="13"/>
  <c r="S32" i="13"/>
  <c r="T32" i="13" s="1"/>
  <c r="T31" i="13"/>
  <c r="S31" i="13"/>
  <c r="S30" i="13"/>
  <c r="T30" i="13" s="1"/>
  <c r="T29" i="13"/>
  <c r="S29" i="13"/>
  <c r="S28" i="13"/>
  <c r="S35" i="13" s="1"/>
  <c r="T27" i="13"/>
  <c r="S25" i="13"/>
  <c r="T25" i="13" s="1"/>
  <c r="S24" i="13"/>
  <c r="T24" i="13" s="1"/>
  <c r="S23" i="13"/>
  <c r="T23" i="13" s="1"/>
  <c r="S22" i="13"/>
  <c r="T22" i="13" s="1"/>
  <c r="S21" i="13"/>
  <c r="T21" i="13" s="1"/>
  <c r="S20" i="13"/>
  <c r="T20" i="13" s="1"/>
  <c r="T26" i="13" s="1"/>
  <c r="S19" i="13"/>
  <c r="T19" i="13" s="1"/>
  <c r="S16" i="13"/>
  <c r="T16" i="13" s="1"/>
  <c r="S15" i="13"/>
  <c r="T15" i="13" s="1"/>
  <c r="S14" i="13"/>
  <c r="T14" i="13" s="1"/>
  <c r="S12" i="13"/>
  <c r="T12" i="13" s="1"/>
  <c r="S11" i="13"/>
  <c r="T11" i="13" s="1"/>
  <c r="S10" i="13"/>
  <c r="T10" i="13" s="1"/>
  <c r="S9" i="13"/>
  <c r="T9" i="13" s="1"/>
  <c r="S8" i="13"/>
  <c r="T8" i="13" s="1"/>
  <c r="S7" i="13"/>
  <c r="T7" i="13" s="1"/>
  <c r="S6" i="13"/>
  <c r="T6" i="13" s="1"/>
  <c r="S5" i="13"/>
  <c r="T5" i="13" s="1"/>
  <c r="S4" i="13"/>
  <c r="S13" i="13" s="1"/>
  <c r="S17" i="13" s="1"/>
  <c r="S34" i="12"/>
  <c r="T34" i="12" s="1"/>
  <c r="T33" i="12"/>
  <c r="S33" i="12"/>
  <c r="S32" i="12"/>
  <c r="T32" i="12" s="1"/>
  <c r="T31" i="12"/>
  <c r="S31" i="12"/>
  <c r="S30" i="12"/>
  <c r="T30" i="12" s="1"/>
  <c r="T29" i="12"/>
  <c r="S29" i="12"/>
  <c r="S28" i="12"/>
  <c r="S35" i="12" s="1"/>
  <c r="T27" i="12"/>
  <c r="S25" i="12"/>
  <c r="T25" i="12" s="1"/>
  <c r="S24" i="12"/>
  <c r="T24" i="12" s="1"/>
  <c r="S23" i="12"/>
  <c r="T23" i="12" s="1"/>
  <c r="S22" i="12"/>
  <c r="T22" i="12" s="1"/>
  <c r="S21" i="12"/>
  <c r="T21" i="12" s="1"/>
  <c r="S20" i="12"/>
  <c r="T20" i="12" s="1"/>
  <c r="T26" i="12" s="1"/>
  <c r="S19" i="12"/>
  <c r="T19" i="12" s="1"/>
  <c r="S16" i="12"/>
  <c r="T16" i="12" s="1"/>
  <c r="S15" i="12"/>
  <c r="T15" i="12" s="1"/>
  <c r="S14" i="12"/>
  <c r="T14" i="12" s="1"/>
  <c r="S12" i="12"/>
  <c r="T12" i="12" s="1"/>
  <c r="S11" i="12"/>
  <c r="T11" i="12" s="1"/>
  <c r="S10" i="12"/>
  <c r="T10" i="12" s="1"/>
  <c r="S9" i="12"/>
  <c r="T9" i="12" s="1"/>
  <c r="S8" i="12"/>
  <c r="T8" i="12" s="1"/>
  <c r="S7" i="12"/>
  <c r="T7" i="12" s="1"/>
  <c r="S6" i="12"/>
  <c r="T6" i="12" s="1"/>
  <c r="S5" i="12"/>
  <c r="T5" i="12" s="1"/>
  <c r="S4" i="12"/>
  <c r="S13" i="12" s="1"/>
  <c r="S17" i="12" s="1"/>
  <c r="S34" i="11"/>
  <c r="T34" i="11" s="1"/>
  <c r="T33" i="11"/>
  <c r="S33" i="11"/>
  <c r="S32" i="11"/>
  <c r="T32" i="11" s="1"/>
  <c r="T31" i="11"/>
  <c r="S31" i="11"/>
  <c r="S30" i="11"/>
  <c r="T30" i="11" s="1"/>
  <c r="T29" i="11"/>
  <c r="S29" i="11"/>
  <c r="S28" i="11"/>
  <c r="S35" i="11" s="1"/>
  <c r="T27" i="11"/>
  <c r="S25" i="11"/>
  <c r="T25" i="11" s="1"/>
  <c r="S24" i="11"/>
  <c r="T24" i="11" s="1"/>
  <c r="S23" i="11"/>
  <c r="T23" i="11" s="1"/>
  <c r="S22" i="11"/>
  <c r="T22" i="11" s="1"/>
  <c r="S21" i="11"/>
  <c r="T21" i="11" s="1"/>
  <c r="S20" i="11"/>
  <c r="T20" i="11" s="1"/>
  <c r="T26" i="11" s="1"/>
  <c r="S19" i="11"/>
  <c r="T19" i="11" s="1"/>
  <c r="S16" i="11"/>
  <c r="T16" i="11" s="1"/>
  <c r="S15" i="11"/>
  <c r="T15" i="11" s="1"/>
  <c r="S14" i="11"/>
  <c r="T14" i="11" s="1"/>
  <c r="S12" i="11"/>
  <c r="T12" i="11" s="1"/>
  <c r="S11" i="11"/>
  <c r="T11" i="11" s="1"/>
  <c r="S10" i="11"/>
  <c r="T10" i="11" s="1"/>
  <c r="S9" i="11"/>
  <c r="T9" i="11" s="1"/>
  <c r="S8" i="11"/>
  <c r="T8" i="11" s="1"/>
  <c r="S7" i="11"/>
  <c r="T7" i="11" s="1"/>
  <c r="S6" i="11"/>
  <c r="T6" i="11" s="1"/>
  <c r="S5" i="11"/>
  <c r="T5" i="11" s="1"/>
  <c r="S4" i="11"/>
  <c r="S34" i="10"/>
  <c r="T34" i="10" s="1"/>
  <c r="S33" i="10"/>
  <c r="T33" i="10" s="1"/>
  <c r="S32" i="10"/>
  <c r="T32" i="10" s="1"/>
  <c r="S31" i="10"/>
  <c r="T31" i="10" s="1"/>
  <c r="S30" i="10"/>
  <c r="T30" i="10" s="1"/>
  <c r="S29" i="10"/>
  <c r="T29" i="10" s="1"/>
  <c r="S28" i="10"/>
  <c r="T28" i="10" s="1"/>
  <c r="T27" i="10"/>
  <c r="T25" i="10"/>
  <c r="S25" i="10"/>
  <c r="S24" i="10"/>
  <c r="T24" i="10" s="1"/>
  <c r="T23" i="10"/>
  <c r="S23" i="10"/>
  <c r="S22" i="10"/>
  <c r="T22" i="10" s="1"/>
  <c r="T21" i="10"/>
  <c r="S21" i="10"/>
  <c r="S20" i="10"/>
  <c r="T20" i="10" s="1"/>
  <c r="T26" i="10" s="1"/>
  <c r="T19" i="10"/>
  <c r="S19" i="10"/>
  <c r="T16" i="10"/>
  <c r="S16" i="10"/>
  <c r="S15" i="10"/>
  <c r="T15" i="10" s="1"/>
  <c r="T14" i="10"/>
  <c r="S14" i="10"/>
  <c r="T12" i="10"/>
  <c r="S12" i="10"/>
  <c r="S11" i="10"/>
  <c r="T11" i="10" s="1"/>
  <c r="T10" i="10"/>
  <c r="S10" i="10"/>
  <c r="S9" i="10"/>
  <c r="T9" i="10" s="1"/>
  <c r="T8" i="10"/>
  <c r="S8" i="10"/>
  <c r="S7" i="10"/>
  <c r="T7" i="10" s="1"/>
  <c r="T6" i="10"/>
  <c r="S6" i="10"/>
  <c r="S5" i="10"/>
  <c r="S13" i="10" s="1"/>
  <c r="S17" i="10" s="1"/>
  <c r="T4" i="10"/>
  <c r="S4" i="10"/>
  <c r="S34" i="9"/>
  <c r="T34" i="9" s="1"/>
  <c r="S33" i="9"/>
  <c r="T33" i="9" s="1"/>
  <c r="S32" i="9"/>
  <c r="T32" i="9" s="1"/>
  <c r="S31" i="9"/>
  <c r="T31" i="9" s="1"/>
  <c r="S30" i="9"/>
  <c r="T30" i="9" s="1"/>
  <c r="S29" i="9"/>
  <c r="T29" i="9" s="1"/>
  <c r="S28" i="9"/>
  <c r="S35" i="9" s="1"/>
  <c r="T27" i="9"/>
  <c r="T25" i="9"/>
  <c r="S25" i="9"/>
  <c r="S24" i="9"/>
  <c r="T24" i="9" s="1"/>
  <c r="T23" i="9"/>
  <c r="S23" i="9"/>
  <c r="S22" i="9"/>
  <c r="T22" i="9" s="1"/>
  <c r="T21" i="9"/>
  <c r="S21" i="9"/>
  <c r="S20" i="9"/>
  <c r="T20" i="9" s="1"/>
  <c r="T19" i="9"/>
  <c r="S19" i="9"/>
  <c r="T16" i="9"/>
  <c r="S16" i="9"/>
  <c r="S15" i="9"/>
  <c r="T15" i="9" s="1"/>
  <c r="T14" i="9"/>
  <c r="S14" i="9"/>
  <c r="T12" i="9"/>
  <c r="S12" i="9"/>
  <c r="S11" i="9"/>
  <c r="T11" i="9" s="1"/>
  <c r="T10" i="9"/>
  <c r="S10" i="9"/>
  <c r="S9" i="9"/>
  <c r="T9" i="9" s="1"/>
  <c r="T8" i="9"/>
  <c r="S8" i="9"/>
  <c r="S7" i="9"/>
  <c r="T7" i="9" s="1"/>
  <c r="T6" i="9"/>
  <c r="S6" i="9"/>
  <c r="S5" i="9"/>
  <c r="T5" i="9" s="1"/>
  <c r="T4" i="9"/>
  <c r="S4" i="9"/>
  <c r="T34" i="8"/>
  <c r="S34" i="8"/>
  <c r="S33" i="8"/>
  <c r="T33" i="8" s="1"/>
  <c r="T30" i="8"/>
  <c r="S30" i="8"/>
  <c r="T28" i="8"/>
  <c r="S28" i="8"/>
  <c r="T27" i="8"/>
  <c r="S19" i="8"/>
  <c r="T19" i="8" s="1"/>
  <c r="S16" i="8"/>
  <c r="T16" i="8" s="1"/>
  <c r="S15" i="8"/>
  <c r="T15" i="8" s="1"/>
  <c r="S14" i="8"/>
  <c r="T14" i="8" s="1"/>
  <c r="S12" i="8"/>
  <c r="T12" i="8" s="1"/>
  <c r="S11" i="8"/>
  <c r="T11" i="8" s="1"/>
  <c r="S10" i="8"/>
  <c r="T10" i="8" s="1"/>
  <c r="S9" i="8"/>
  <c r="T9" i="8" s="1"/>
  <c r="S8" i="8"/>
  <c r="T8" i="8" s="1"/>
  <c r="S7" i="8"/>
  <c r="T7" i="8" s="1"/>
  <c r="S5" i="8"/>
  <c r="T5" i="8" s="1"/>
  <c r="S4" i="8"/>
  <c r="T4" i="8" s="1"/>
  <c r="S34" i="7"/>
  <c r="T34" i="7" s="1"/>
  <c r="T33" i="7"/>
  <c r="S33" i="7"/>
  <c r="S32" i="7"/>
  <c r="T32" i="7" s="1"/>
  <c r="T31" i="7"/>
  <c r="S31" i="7"/>
  <c r="S30" i="7"/>
  <c r="T30" i="7" s="1"/>
  <c r="T29" i="7"/>
  <c r="S29" i="7"/>
  <c r="S28" i="7"/>
  <c r="S35" i="7" s="1"/>
  <c r="T27" i="7"/>
  <c r="S25" i="7"/>
  <c r="T25" i="7" s="1"/>
  <c r="S24" i="7"/>
  <c r="T24" i="7" s="1"/>
  <c r="S23" i="7"/>
  <c r="T23" i="7" s="1"/>
  <c r="S22" i="7"/>
  <c r="T22" i="7" s="1"/>
  <c r="S21" i="7"/>
  <c r="T21" i="7" s="1"/>
  <c r="S20" i="7"/>
  <c r="T20" i="7" s="1"/>
  <c r="S19" i="7"/>
  <c r="T19" i="7" s="1"/>
  <c r="S16" i="7"/>
  <c r="T16" i="7" s="1"/>
  <c r="S15" i="7"/>
  <c r="T15" i="7" s="1"/>
  <c r="S14" i="7"/>
  <c r="T14" i="7" s="1"/>
  <c r="S12" i="7"/>
  <c r="T12" i="7" s="1"/>
  <c r="S11" i="7"/>
  <c r="T11" i="7" s="1"/>
  <c r="S10" i="7"/>
  <c r="T10" i="7" s="1"/>
  <c r="S9" i="7"/>
  <c r="T9" i="7" s="1"/>
  <c r="S8" i="7"/>
  <c r="T8" i="7" s="1"/>
  <c r="S7" i="7"/>
  <c r="T7" i="7" s="1"/>
  <c r="S6" i="7"/>
  <c r="T6" i="7" s="1"/>
  <c r="S5" i="7"/>
  <c r="T5" i="7" s="1"/>
  <c r="S4" i="7"/>
  <c r="S13" i="7" s="1"/>
  <c r="S17" i="7" s="1"/>
  <c r="S34" i="6"/>
  <c r="T34" i="6" s="1"/>
  <c r="T33" i="6"/>
  <c r="S33" i="6"/>
  <c r="S32" i="6"/>
  <c r="T32" i="6" s="1"/>
  <c r="T31" i="6"/>
  <c r="S31" i="6"/>
  <c r="S30" i="6"/>
  <c r="T30" i="6" s="1"/>
  <c r="T29" i="6"/>
  <c r="S29" i="6"/>
  <c r="S28" i="6"/>
  <c r="S35" i="6" s="1"/>
  <c r="T27" i="6"/>
  <c r="S25" i="6"/>
  <c r="T25" i="6" s="1"/>
  <c r="S24" i="6"/>
  <c r="T24" i="6" s="1"/>
  <c r="S23" i="6"/>
  <c r="T23" i="6" s="1"/>
  <c r="S22" i="6"/>
  <c r="T22" i="6" s="1"/>
  <c r="S21" i="6"/>
  <c r="T21" i="6" s="1"/>
  <c r="S20" i="6"/>
  <c r="T20" i="6" s="1"/>
  <c r="T26" i="6" s="1"/>
  <c r="S19" i="6"/>
  <c r="T19" i="6" s="1"/>
  <c r="S16" i="6"/>
  <c r="T16" i="6" s="1"/>
  <c r="S15" i="6"/>
  <c r="T15" i="6" s="1"/>
  <c r="S14" i="6"/>
  <c r="T14" i="6" s="1"/>
  <c r="S12" i="6"/>
  <c r="T12" i="6" s="1"/>
  <c r="S11" i="6"/>
  <c r="T11" i="6" s="1"/>
  <c r="S10" i="6"/>
  <c r="T10" i="6" s="1"/>
  <c r="S9" i="6"/>
  <c r="T9" i="6" s="1"/>
  <c r="S8" i="6"/>
  <c r="T8" i="6" s="1"/>
  <c r="S7" i="6"/>
  <c r="T7" i="6" s="1"/>
  <c r="S6" i="6"/>
  <c r="T6" i="6" s="1"/>
  <c r="S5" i="6"/>
  <c r="T5" i="6" s="1"/>
  <c r="S4" i="6"/>
  <c r="S13" i="6" s="1"/>
  <c r="S17" i="6" s="1"/>
  <c r="S34" i="5"/>
  <c r="T34" i="5" s="1"/>
  <c r="S33" i="5"/>
  <c r="T33" i="5" s="1"/>
  <c r="S32" i="5"/>
  <c r="T32" i="5" s="1"/>
  <c r="S31" i="5"/>
  <c r="T31" i="5" s="1"/>
  <c r="S30" i="5"/>
  <c r="T30" i="5" s="1"/>
  <c r="S29" i="5"/>
  <c r="T29" i="5" s="1"/>
  <c r="S28" i="5"/>
  <c r="T28" i="5" s="1"/>
  <c r="T27" i="5"/>
  <c r="T25" i="5"/>
  <c r="S25" i="5"/>
  <c r="S24" i="5"/>
  <c r="T24" i="5" s="1"/>
  <c r="T23" i="5"/>
  <c r="S23" i="5"/>
  <c r="S22" i="5"/>
  <c r="T22" i="5" s="1"/>
  <c r="T21" i="5"/>
  <c r="S21" i="5"/>
  <c r="S20" i="5"/>
  <c r="T20" i="5" s="1"/>
  <c r="T26" i="5" s="1"/>
  <c r="T19" i="5"/>
  <c r="S19" i="5"/>
  <c r="T16" i="5"/>
  <c r="S16" i="5"/>
  <c r="S15" i="5"/>
  <c r="T15" i="5" s="1"/>
  <c r="T14" i="5"/>
  <c r="S14" i="5"/>
  <c r="T12" i="5"/>
  <c r="S12" i="5"/>
  <c r="S11" i="5"/>
  <c r="T11" i="5" s="1"/>
  <c r="T10" i="5"/>
  <c r="S10" i="5"/>
  <c r="S9" i="5"/>
  <c r="T9" i="5" s="1"/>
  <c r="T8" i="5"/>
  <c r="S8" i="5"/>
  <c r="S7" i="5"/>
  <c r="T7" i="5" s="1"/>
  <c r="T6" i="5"/>
  <c r="S6" i="5"/>
  <c r="S5" i="5"/>
  <c r="T5" i="5" s="1"/>
  <c r="T4" i="5"/>
  <c r="T13" i="5" s="1"/>
  <c r="T17" i="5" s="1"/>
  <c r="S4" i="5"/>
  <c r="S34" i="4"/>
  <c r="T34" i="4" s="1"/>
  <c r="S33" i="4"/>
  <c r="T33" i="4" s="1"/>
  <c r="S32" i="4"/>
  <c r="T32" i="4" s="1"/>
  <c r="S31" i="4"/>
  <c r="T31" i="4" s="1"/>
  <c r="S30" i="4"/>
  <c r="T30" i="4" s="1"/>
  <c r="S29" i="4"/>
  <c r="T29" i="4" s="1"/>
  <c r="S28" i="4"/>
  <c r="S35" i="4" s="1"/>
  <c r="T27" i="4"/>
  <c r="T25" i="4"/>
  <c r="S25" i="4"/>
  <c r="S24" i="4"/>
  <c r="T24" i="4" s="1"/>
  <c r="T23" i="4"/>
  <c r="S23" i="4"/>
  <c r="S22" i="4"/>
  <c r="T22" i="4" s="1"/>
  <c r="T21" i="4"/>
  <c r="S21" i="4"/>
  <c r="S20" i="4"/>
  <c r="T20" i="4" s="1"/>
  <c r="T19" i="4"/>
  <c r="S19" i="4"/>
  <c r="T16" i="4"/>
  <c r="S16" i="4"/>
  <c r="S15" i="4"/>
  <c r="T15" i="4" s="1"/>
  <c r="T14" i="4"/>
  <c r="S14" i="4"/>
  <c r="T12" i="4"/>
  <c r="S12" i="4"/>
  <c r="S11" i="4"/>
  <c r="T11" i="4" s="1"/>
  <c r="T10" i="4"/>
  <c r="S10" i="4"/>
  <c r="T9" i="4"/>
  <c r="T8" i="4"/>
  <c r="S8" i="4"/>
  <c r="S7" i="4"/>
  <c r="T7" i="4" s="1"/>
  <c r="T6" i="4"/>
  <c r="T5" i="4"/>
  <c r="T4" i="4"/>
  <c r="S34" i="3"/>
  <c r="T34" i="3" s="1"/>
  <c r="T33" i="3"/>
  <c r="S33" i="3"/>
  <c r="S32" i="3"/>
  <c r="T32" i="3" s="1"/>
  <c r="T31" i="3"/>
  <c r="S31" i="3"/>
  <c r="S30" i="3"/>
  <c r="T30" i="3" s="1"/>
  <c r="T29" i="3"/>
  <c r="S29" i="3"/>
  <c r="S28" i="3"/>
  <c r="S35" i="3" s="1"/>
  <c r="T27" i="3"/>
  <c r="S25" i="3"/>
  <c r="T25" i="3" s="1"/>
  <c r="S24" i="3"/>
  <c r="T24" i="3" s="1"/>
  <c r="S23" i="3"/>
  <c r="T23" i="3" s="1"/>
  <c r="S22" i="3"/>
  <c r="T22" i="3" s="1"/>
  <c r="S21" i="3"/>
  <c r="T21" i="3" s="1"/>
  <c r="S20" i="3"/>
  <c r="T20" i="3" s="1"/>
  <c r="T26" i="3" s="1"/>
  <c r="S19" i="3"/>
  <c r="T19" i="3" s="1"/>
  <c r="S16" i="3"/>
  <c r="T16" i="3" s="1"/>
  <c r="S15" i="3"/>
  <c r="T15" i="3" s="1"/>
  <c r="S14" i="3"/>
  <c r="T14" i="3" s="1"/>
  <c r="S12" i="3"/>
  <c r="T12" i="3" s="1"/>
  <c r="S11" i="3"/>
  <c r="T11" i="3" s="1"/>
  <c r="S10" i="3"/>
  <c r="T10" i="3" s="1"/>
  <c r="S9" i="3"/>
  <c r="T9" i="3" s="1"/>
  <c r="S8" i="3"/>
  <c r="T8" i="3" s="1"/>
  <c r="S7" i="3"/>
  <c r="T7" i="3" s="1"/>
  <c r="S6" i="3"/>
  <c r="T6" i="3" s="1"/>
  <c r="S5" i="3"/>
  <c r="T5" i="3" s="1"/>
  <c r="S4" i="3"/>
  <c r="S13" i="3" s="1"/>
  <c r="S17" i="3" s="1"/>
  <c r="S35" i="2"/>
  <c r="S34" i="2"/>
  <c r="S33" i="2"/>
  <c r="S32" i="2"/>
  <c r="S31" i="2"/>
  <c r="S30" i="2"/>
  <c r="S29" i="2"/>
  <c r="S28" i="2"/>
  <c r="S25" i="2"/>
  <c r="S24" i="2"/>
  <c r="S23" i="2"/>
  <c r="S22" i="2"/>
  <c r="S21" i="2"/>
  <c r="S20" i="2"/>
  <c r="S19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T5" i="2" s="1"/>
  <c r="S4" i="2"/>
  <c r="T34" i="2"/>
  <c r="T33" i="2"/>
  <c r="T32" i="2"/>
  <c r="T31" i="2"/>
  <c r="T30" i="2"/>
  <c r="T29" i="2"/>
  <c r="T28" i="2"/>
  <c r="T27" i="2"/>
  <c r="T25" i="2"/>
  <c r="T24" i="2"/>
  <c r="T23" i="2"/>
  <c r="T22" i="2"/>
  <c r="T21" i="2"/>
  <c r="T20" i="2"/>
  <c r="S26" i="2"/>
  <c r="T19" i="2"/>
  <c r="T16" i="2"/>
  <c r="T15" i="2"/>
  <c r="T14" i="2"/>
  <c r="T12" i="2"/>
  <c r="T11" i="2"/>
  <c r="T10" i="2"/>
  <c r="T9" i="2"/>
  <c r="T8" i="2"/>
  <c r="T7" i="2"/>
  <c r="T6" i="2"/>
  <c r="S34" i="1"/>
  <c r="T34" i="1" s="1"/>
  <c r="S33" i="1"/>
  <c r="T33" i="1"/>
  <c r="T30" i="1"/>
  <c r="T27" i="1"/>
  <c r="D32" i="1"/>
  <c r="E32" i="1"/>
  <c r="F32" i="1"/>
  <c r="G32" i="1"/>
  <c r="H32" i="1"/>
  <c r="I32" i="1"/>
  <c r="D33" i="1"/>
  <c r="E33" i="1"/>
  <c r="F33" i="1"/>
  <c r="G33" i="1"/>
  <c r="G40" i="1" s="1"/>
  <c r="H33" i="1"/>
  <c r="F28" i="18" s="1"/>
  <c r="I33" i="1"/>
  <c r="D34" i="1"/>
  <c r="E34" i="1"/>
  <c r="F34" i="1"/>
  <c r="G34" i="1"/>
  <c r="H34" i="1"/>
  <c r="I34" i="1"/>
  <c r="D35" i="1"/>
  <c r="F35" i="1"/>
  <c r="G35" i="1"/>
  <c r="H35" i="1"/>
  <c r="D36" i="1"/>
  <c r="E36" i="1"/>
  <c r="F36" i="1"/>
  <c r="G36" i="1"/>
  <c r="H36" i="1"/>
  <c r="I36" i="1"/>
  <c r="D37" i="1"/>
  <c r="D41" i="1" s="1"/>
  <c r="E37" i="1"/>
  <c r="F37" i="1"/>
  <c r="G37" i="1"/>
  <c r="H37" i="1"/>
  <c r="I37" i="1"/>
  <c r="D38" i="1"/>
  <c r="E38" i="1"/>
  <c r="E41" i="1" s="1"/>
  <c r="F38" i="1"/>
  <c r="F41" i="1" s="1"/>
  <c r="G38" i="1"/>
  <c r="H38" i="1"/>
  <c r="I38" i="1"/>
  <c r="D39" i="1"/>
  <c r="E39" i="1"/>
  <c r="F39" i="1"/>
  <c r="G39" i="1"/>
  <c r="H39" i="1"/>
  <c r="I39" i="1"/>
  <c r="I41" i="1"/>
  <c r="G15" i="1"/>
  <c r="G16" i="1"/>
  <c r="G17" i="1"/>
  <c r="G18" i="1"/>
  <c r="G19" i="1"/>
  <c r="G4" i="1"/>
  <c r="G5" i="1"/>
  <c r="G6" i="1"/>
  <c r="G7" i="1"/>
  <c r="G8" i="1"/>
  <c r="G9" i="1"/>
  <c r="H5" i="1"/>
  <c r="F26" i="18" s="1"/>
  <c r="D5" i="1"/>
  <c r="B91" i="18" s="1"/>
  <c r="F16" i="1"/>
  <c r="K28" i="17"/>
  <c r="K28" i="16"/>
  <c r="K28" i="15"/>
  <c r="K28" i="13"/>
  <c r="K28" i="12"/>
  <c r="K28" i="11"/>
  <c r="K28" i="10"/>
  <c r="K28" i="9"/>
  <c r="K28" i="8"/>
  <c r="K28" i="7"/>
  <c r="K28" i="6"/>
  <c r="K28" i="5"/>
  <c r="K28" i="4"/>
  <c r="K28" i="3"/>
  <c r="K28" i="2"/>
  <c r="G40" i="17"/>
  <c r="G41" i="17"/>
  <c r="G20" i="17"/>
  <c r="G10" i="17"/>
  <c r="G40" i="16"/>
  <c r="G41" i="16"/>
  <c r="G20" i="16"/>
  <c r="G10" i="16"/>
  <c r="G40" i="15"/>
  <c r="G41" i="15"/>
  <c r="G20" i="15"/>
  <c r="G10" i="15"/>
  <c r="G40" i="14"/>
  <c r="G41" i="14"/>
  <c r="G20" i="14"/>
  <c r="G10" i="14"/>
  <c r="G40" i="13"/>
  <c r="G41" i="13"/>
  <c r="G20" i="13"/>
  <c r="G10" i="13"/>
  <c r="G40" i="12"/>
  <c r="G41" i="12"/>
  <c r="G20" i="12"/>
  <c r="G10" i="12"/>
  <c r="G40" i="11"/>
  <c r="G41" i="11"/>
  <c r="G40" i="10"/>
  <c r="G41" i="10"/>
  <c r="G20" i="10"/>
  <c r="G10" i="10"/>
  <c r="G40" i="9"/>
  <c r="G41" i="9"/>
  <c r="G20" i="9"/>
  <c r="G10" i="9"/>
  <c r="G20" i="8"/>
  <c r="G20" i="7"/>
  <c r="G10" i="7"/>
  <c r="G20" i="6"/>
  <c r="G10" i="6"/>
  <c r="G40" i="5"/>
  <c r="G41" i="5"/>
  <c r="G20" i="5"/>
  <c r="G10" i="5"/>
  <c r="G40" i="4"/>
  <c r="G41" i="4"/>
  <c r="G20" i="4"/>
  <c r="G10" i="4"/>
  <c r="G20" i="3"/>
  <c r="G10" i="3"/>
  <c r="G20" i="2"/>
  <c r="G10" i="2"/>
  <c r="G40" i="7"/>
  <c r="G41" i="7"/>
  <c r="G41" i="8"/>
  <c r="G40" i="6"/>
  <c r="G41" i="6"/>
  <c r="G40" i="3"/>
  <c r="G41" i="3"/>
  <c r="G40" i="2"/>
  <c r="G41" i="2"/>
  <c r="K27" i="2"/>
  <c r="K27" i="3"/>
  <c r="K27" i="4"/>
  <c r="K27" i="5"/>
  <c r="K27" i="7"/>
  <c r="K27" i="9"/>
  <c r="K27" i="10"/>
  <c r="K27" i="12"/>
  <c r="K27" i="13"/>
  <c r="K27" i="16"/>
  <c r="K27" i="17"/>
  <c r="L5" i="16"/>
  <c r="L4" i="16"/>
  <c r="L5" i="15"/>
  <c r="L4" i="15"/>
  <c r="L5" i="14"/>
  <c r="L4" i="14"/>
  <c r="L5" i="13"/>
  <c r="L4" i="13"/>
  <c r="L5" i="12"/>
  <c r="L4" i="12"/>
  <c r="L5" i="11"/>
  <c r="L4" i="11"/>
  <c r="L5" i="10"/>
  <c r="L4" i="10"/>
  <c r="L5" i="9"/>
  <c r="L4" i="9"/>
  <c r="L5" i="8"/>
  <c r="L4" i="8"/>
  <c r="L5" i="7"/>
  <c r="L4" i="7"/>
  <c r="L5" i="6"/>
  <c r="L4" i="6"/>
  <c r="L5" i="5"/>
  <c r="L4" i="5"/>
  <c r="L5" i="4"/>
  <c r="L4" i="4"/>
  <c r="L5" i="3"/>
  <c r="L4" i="3"/>
  <c r="L5" i="2"/>
  <c r="L4" i="2"/>
  <c r="S13" i="11" l="1"/>
  <c r="S17" i="11" s="1"/>
  <c r="F44" i="18"/>
  <c r="B94" i="18"/>
  <c r="T13" i="17"/>
  <c r="T17" i="17" s="1"/>
  <c r="S13" i="17"/>
  <c r="S17" i="17" s="1"/>
  <c r="T28" i="17"/>
  <c r="T35" i="16"/>
  <c r="T13" i="16"/>
  <c r="T17" i="16" s="1"/>
  <c r="T26" i="16"/>
  <c r="T36" i="16" s="1"/>
  <c r="S13" i="16"/>
  <c r="S17" i="16" s="1"/>
  <c r="S26" i="16"/>
  <c r="S35" i="16"/>
  <c r="T13" i="15"/>
  <c r="T17" i="15" s="1"/>
  <c r="T26" i="15"/>
  <c r="S13" i="15"/>
  <c r="S17" i="15" s="1"/>
  <c r="S26" i="15"/>
  <c r="T28" i="15"/>
  <c r="T4" i="14"/>
  <c r="T4" i="13"/>
  <c r="T13" i="13" s="1"/>
  <c r="T17" i="13" s="1"/>
  <c r="S26" i="13"/>
  <c r="T28" i="13"/>
  <c r="T4" i="12"/>
  <c r="T13" i="12" s="1"/>
  <c r="T17" i="12" s="1"/>
  <c r="S26" i="12"/>
  <c r="T28" i="12"/>
  <c r="T4" i="11"/>
  <c r="T13" i="11" s="1"/>
  <c r="T17" i="11" s="1"/>
  <c r="S26" i="11"/>
  <c r="T28" i="11"/>
  <c r="T35" i="10"/>
  <c r="T36" i="10" s="1"/>
  <c r="S26" i="10"/>
  <c r="T5" i="10"/>
  <c r="T13" i="10" s="1"/>
  <c r="T17" i="10" s="1"/>
  <c r="T37" i="10" s="1"/>
  <c r="T38" i="10" s="1"/>
  <c r="S35" i="10"/>
  <c r="T13" i="9"/>
  <c r="T17" i="9" s="1"/>
  <c r="T26" i="9"/>
  <c r="S13" i="9"/>
  <c r="S17" i="9" s="1"/>
  <c r="S26" i="9"/>
  <c r="T28" i="9"/>
  <c r="T26" i="7"/>
  <c r="T4" i="7"/>
  <c r="T13" i="7" s="1"/>
  <c r="T17" i="7" s="1"/>
  <c r="S26" i="7"/>
  <c r="T28" i="7"/>
  <c r="T4" i="6"/>
  <c r="T13" i="6" s="1"/>
  <c r="T17" i="6" s="1"/>
  <c r="S26" i="6"/>
  <c r="T28" i="6"/>
  <c r="T35" i="5"/>
  <c r="T36" i="5" s="1"/>
  <c r="T38" i="5" s="1"/>
  <c r="S13" i="5"/>
  <c r="S17" i="5" s="1"/>
  <c r="S26" i="5"/>
  <c r="S35" i="5"/>
  <c r="T13" i="4"/>
  <c r="T17" i="4" s="1"/>
  <c r="T26" i="4"/>
  <c r="S13" i="4"/>
  <c r="S17" i="4" s="1"/>
  <c r="S26" i="4"/>
  <c r="T28" i="4"/>
  <c r="T4" i="3"/>
  <c r="T13" i="3" s="1"/>
  <c r="T17" i="3" s="1"/>
  <c r="S26" i="3"/>
  <c r="T28" i="3"/>
  <c r="T26" i="2"/>
  <c r="T35" i="2"/>
  <c r="T4" i="2"/>
  <c r="T13" i="2" s="1"/>
  <c r="T17" i="2" s="1"/>
  <c r="H41" i="1"/>
  <c r="F40" i="1"/>
  <c r="G20" i="1"/>
  <c r="H40" i="1"/>
  <c r="D40" i="1"/>
  <c r="G10" i="1"/>
  <c r="G41" i="1"/>
  <c r="I40" i="1"/>
  <c r="E40" i="1"/>
  <c r="C33" i="1"/>
  <c r="J33" i="1"/>
  <c r="J89" i="18" s="1"/>
  <c r="K33" i="1"/>
  <c r="C34" i="1"/>
  <c r="J34" i="1"/>
  <c r="J90" i="18" s="1"/>
  <c r="K34" i="1"/>
  <c r="C35" i="1"/>
  <c r="J35" i="1"/>
  <c r="K35" i="1"/>
  <c r="C36" i="1"/>
  <c r="J36" i="1"/>
  <c r="J91" i="18" s="1"/>
  <c r="K36" i="1"/>
  <c r="F18" i="18" s="1"/>
  <c r="G19" i="18" s="1"/>
  <c r="C37" i="1"/>
  <c r="J37" i="1"/>
  <c r="K37" i="1"/>
  <c r="C38" i="1"/>
  <c r="J38" i="1"/>
  <c r="K38" i="1"/>
  <c r="C39" i="1"/>
  <c r="J39" i="1"/>
  <c r="K39" i="1"/>
  <c r="K92" i="18" l="1"/>
  <c r="S8" i="1"/>
  <c r="B47" i="18"/>
  <c r="J7" i="18" s="1"/>
  <c r="T38" i="16"/>
  <c r="T36" i="15"/>
  <c r="T37" i="15" s="1"/>
  <c r="T38" i="15" s="1"/>
  <c r="T35" i="15"/>
  <c r="T38" i="13"/>
  <c r="T35" i="13"/>
  <c r="T36" i="13" s="1"/>
  <c r="T37" i="13"/>
  <c r="T38" i="12"/>
  <c r="T35" i="12"/>
  <c r="T36" i="12" s="1"/>
  <c r="T37" i="12"/>
  <c r="T38" i="11"/>
  <c r="T35" i="11"/>
  <c r="T36" i="11" s="1"/>
  <c r="T37" i="11"/>
  <c r="T36" i="9"/>
  <c r="T37" i="9" s="1"/>
  <c r="T38" i="9" s="1"/>
  <c r="T35" i="9"/>
  <c r="T35" i="7"/>
  <c r="T36" i="7" s="1"/>
  <c r="T37" i="7" s="1"/>
  <c r="T38" i="7" s="1"/>
  <c r="T38" i="6"/>
  <c r="T35" i="6"/>
  <c r="T36" i="6" s="1"/>
  <c r="T37" i="6"/>
  <c r="T36" i="4"/>
  <c r="T37" i="4" s="1"/>
  <c r="T38" i="4" s="1"/>
  <c r="T35" i="4"/>
  <c r="T35" i="3"/>
  <c r="T36" i="3" s="1"/>
  <c r="T37" i="3"/>
  <c r="T38" i="3" s="1"/>
  <c r="T36" i="2"/>
  <c r="J32" i="1"/>
  <c r="K32" i="1"/>
  <c r="C32" i="1"/>
  <c r="L39" i="17"/>
  <c r="L38" i="17"/>
  <c r="K41" i="17"/>
  <c r="J41" i="17"/>
  <c r="I41" i="17"/>
  <c r="H41" i="17"/>
  <c r="F41" i="17"/>
  <c r="E41" i="17"/>
  <c r="D41" i="17"/>
  <c r="C41" i="17"/>
  <c r="L36" i="17"/>
  <c r="S24" i="17" s="1"/>
  <c r="T24" i="17" s="1"/>
  <c r="L35" i="17"/>
  <c r="S23" i="17" s="1"/>
  <c r="T23" i="17" s="1"/>
  <c r="L34" i="17"/>
  <c r="S22" i="17" s="1"/>
  <c r="T22" i="17" s="1"/>
  <c r="L33" i="17"/>
  <c r="S21" i="17" s="1"/>
  <c r="T21" i="17" s="1"/>
  <c r="K40" i="17"/>
  <c r="J40" i="17"/>
  <c r="J27" i="17" s="1"/>
  <c r="S29" i="17" s="1"/>
  <c r="I40" i="17"/>
  <c r="H40" i="17"/>
  <c r="F40" i="17"/>
  <c r="E40" i="17"/>
  <c r="D40" i="17"/>
  <c r="C40" i="17"/>
  <c r="L19" i="17"/>
  <c r="L18" i="17"/>
  <c r="L17" i="17"/>
  <c r="M17" i="17"/>
  <c r="L16" i="17"/>
  <c r="M16" i="17"/>
  <c r="L15" i="17"/>
  <c r="L20" i="17" s="1"/>
  <c r="K20" i="17"/>
  <c r="M15" i="17"/>
  <c r="I20" i="17"/>
  <c r="H20" i="17"/>
  <c r="F20" i="17"/>
  <c r="E20" i="17"/>
  <c r="D20" i="17"/>
  <c r="C20" i="17"/>
  <c r="M5" i="17"/>
  <c r="S32" i="17" s="1"/>
  <c r="T32" i="17" s="1"/>
  <c r="T29" i="17" l="1"/>
  <c r="L40" i="17"/>
  <c r="J28" i="17"/>
  <c r="N27" i="17"/>
  <c r="N28" i="17" s="1"/>
  <c r="J20" i="17"/>
  <c r="M4" i="17"/>
  <c r="L32" i="17"/>
  <c r="S20" i="17" s="1"/>
  <c r="L37" i="17"/>
  <c r="L41" i="17" s="1"/>
  <c r="S25" i="17" s="1"/>
  <c r="T25" i="17" s="1"/>
  <c r="T20" i="17" l="1"/>
  <c r="T26" i="17" s="1"/>
  <c r="S26" i="17"/>
  <c r="M10" i="17"/>
  <c r="S31" i="17"/>
  <c r="K41" i="16"/>
  <c r="J41" i="16"/>
  <c r="I41" i="16"/>
  <c r="H41" i="16"/>
  <c r="F41" i="16"/>
  <c r="E41" i="16"/>
  <c r="D41" i="16"/>
  <c r="C41" i="16"/>
  <c r="K40" i="16"/>
  <c r="J40" i="16"/>
  <c r="I40" i="16"/>
  <c r="H40" i="16"/>
  <c r="F40" i="16"/>
  <c r="E40" i="16"/>
  <c r="D40" i="16"/>
  <c r="C40" i="16"/>
  <c r="L19" i="16"/>
  <c r="L18" i="16"/>
  <c r="L17" i="16"/>
  <c r="L15" i="16"/>
  <c r="E20" i="16"/>
  <c r="M5" i="16"/>
  <c r="K10" i="16"/>
  <c r="J27" i="16" s="1"/>
  <c r="J10" i="16"/>
  <c r="I10" i="16"/>
  <c r="H10" i="16"/>
  <c r="F10" i="16"/>
  <c r="E10" i="16"/>
  <c r="D10" i="16"/>
  <c r="C10" i="16"/>
  <c r="T31" i="17" l="1"/>
  <c r="T35" i="17" s="1"/>
  <c r="T36" i="17" s="1"/>
  <c r="T37" i="17" s="1"/>
  <c r="S35" i="17"/>
  <c r="M15" i="16"/>
  <c r="C20" i="16"/>
  <c r="H20" i="16"/>
  <c r="F20" i="16"/>
  <c r="K20" i="16"/>
  <c r="M17" i="16"/>
  <c r="D20" i="16"/>
  <c r="I20" i="16"/>
  <c r="L16" i="16"/>
  <c r="L20" i="16" s="1"/>
  <c r="L33" i="16"/>
  <c r="L34" i="16"/>
  <c r="L35" i="16"/>
  <c r="L36" i="16"/>
  <c r="L38" i="16"/>
  <c r="L39" i="16"/>
  <c r="L40" i="16"/>
  <c r="J28" i="16"/>
  <c r="N27" i="16"/>
  <c r="N28" i="16" s="1"/>
  <c r="J20" i="16"/>
  <c r="M4" i="16"/>
  <c r="M10" i="16" s="1"/>
  <c r="L32" i="16"/>
  <c r="L37" i="16"/>
  <c r="L41" i="16" s="1"/>
  <c r="M16" i="16" l="1"/>
  <c r="F51" i="1" l="1"/>
  <c r="F50" i="1" s="1"/>
  <c r="K41" i="14" l="1"/>
  <c r="J41" i="14"/>
  <c r="I41" i="14"/>
  <c r="H41" i="14"/>
  <c r="F41" i="14"/>
  <c r="E41" i="14"/>
  <c r="D41" i="14"/>
  <c r="C41" i="14"/>
  <c r="K40" i="14"/>
  <c r="K27" i="14" s="1"/>
  <c r="J40" i="14"/>
  <c r="I40" i="14"/>
  <c r="H40" i="14"/>
  <c r="F40" i="14"/>
  <c r="E40" i="14"/>
  <c r="D40" i="14"/>
  <c r="C40" i="14"/>
  <c r="L19" i="14"/>
  <c r="L18" i="14"/>
  <c r="L17" i="14"/>
  <c r="L16" i="14"/>
  <c r="L15" i="14"/>
  <c r="J20" i="14"/>
  <c r="I20" i="14"/>
  <c r="E20" i="14"/>
  <c r="D20" i="14"/>
  <c r="M4" i="14"/>
  <c r="S31" i="14" s="1"/>
  <c r="T31" i="14" s="1"/>
  <c r="S28" i="14" l="1"/>
  <c r="T28" i="14" s="1"/>
  <c r="K28" i="14"/>
  <c r="F10" i="14"/>
  <c r="M16" i="14"/>
  <c r="M17" i="14"/>
  <c r="D10" i="14"/>
  <c r="I10" i="14"/>
  <c r="F20" i="14"/>
  <c r="C20" i="14"/>
  <c r="H20" i="14"/>
  <c r="L33" i="14"/>
  <c r="S21" i="14" s="1"/>
  <c r="T21" i="14" s="1"/>
  <c r="L34" i="14"/>
  <c r="S22" i="14" s="1"/>
  <c r="T22" i="14" s="1"/>
  <c r="L35" i="14"/>
  <c r="S23" i="14" s="1"/>
  <c r="T23" i="14" s="1"/>
  <c r="L36" i="14"/>
  <c r="S24" i="14" s="1"/>
  <c r="T24" i="14" s="1"/>
  <c r="L38" i="14"/>
  <c r="L39" i="14"/>
  <c r="E10" i="14"/>
  <c r="N27" i="14"/>
  <c r="N28" i="14" s="1"/>
  <c r="L40" i="14"/>
  <c r="J27" i="14"/>
  <c r="L20" i="14"/>
  <c r="M15" i="14"/>
  <c r="K20" i="14"/>
  <c r="L32" i="14"/>
  <c r="S20" i="14" s="1"/>
  <c r="M5" i="14"/>
  <c r="L37" i="14"/>
  <c r="S5" i="14" l="1"/>
  <c r="S19" i="14"/>
  <c r="T19" i="14" s="1"/>
  <c r="T20" i="14"/>
  <c r="L41" i="14"/>
  <c r="S25" i="14" s="1"/>
  <c r="T25" i="14" s="1"/>
  <c r="M10" i="14"/>
  <c r="S32" i="14"/>
  <c r="T32" i="14" s="1"/>
  <c r="J28" i="14"/>
  <c r="S29" i="14"/>
  <c r="K41" i="13"/>
  <c r="J41" i="13"/>
  <c r="I41" i="13"/>
  <c r="H41" i="13"/>
  <c r="F41" i="13"/>
  <c r="E41" i="13"/>
  <c r="D41" i="13"/>
  <c r="C41" i="13"/>
  <c r="K40" i="13"/>
  <c r="J40" i="13"/>
  <c r="I40" i="13"/>
  <c r="H40" i="13"/>
  <c r="F40" i="13"/>
  <c r="E40" i="13"/>
  <c r="D40" i="13"/>
  <c r="C40" i="13"/>
  <c r="L19" i="13"/>
  <c r="L18" i="13"/>
  <c r="L17" i="13"/>
  <c r="M17" i="13" s="1"/>
  <c r="K20" i="13"/>
  <c r="F20" i="13"/>
  <c r="L15" i="13"/>
  <c r="M15" i="13" s="1"/>
  <c r="I20" i="13"/>
  <c r="H20" i="13"/>
  <c r="D20" i="13"/>
  <c r="C20" i="13"/>
  <c r="M5" i="13"/>
  <c r="K10" i="13"/>
  <c r="H10" i="13"/>
  <c r="F10" i="13"/>
  <c r="C10" i="13"/>
  <c r="T5" i="14" l="1"/>
  <c r="T13" i="14" s="1"/>
  <c r="T17" i="14" s="1"/>
  <c r="S13" i="14"/>
  <c r="S17" i="14" s="1"/>
  <c r="S26" i="14"/>
  <c r="T26" i="14"/>
  <c r="T29" i="14"/>
  <c r="T35" i="14" s="1"/>
  <c r="S35" i="14"/>
  <c r="D10" i="13"/>
  <c r="I10" i="13"/>
  <c r="E10" i="13"/>
  <c r="J28" i="13"/>
  <c r="E20" i="13"/>
  <c r="L40" i="13"/>
  <c r="L33" i="13"/>
  <c r="L34" i="13"/>
  <c r="L35" i="13"/>
  <c r="L36" i="13"/>
  <c r="L38" i="13"/>
  <c r="L39" i="13"/>
  <c r="N27" i="13"/>
  <c r="N28" i="13" s="1"/>
  <c r="J20" i="13"/>
  <c r="M4" i="13"/>
  <c r="M10" i="13" s="1"/>
  <c r="J10" i="13"/>
  <c r="L16" i="13"/>
  <c r="L20" i="13" s="1"/>
  <c r="L32" i="13"/>
  <c r="L37" i="13"/>
  <c r="T36" i="14" l="1"/>
  <c r="T37" i="14"/>
  <c r="L41" i="13"/>
  <c r="M16" i="13"/>
  <c r="T38" i="14" l="1"/>
  <c r="K41" i="12"/>
  <c r="J41" i="12"/>
  <c r="I41" i="12"/>
  <c r="H41" i="12"/>
  <c r="F41" i="12"/>
  <c r="E41" i="12"/>
  <c r="D41" i="12"/>
  <c r="C41" i="12"/>
  <c r="K40" i="12"/>
  <c r="J40" i="12"/>
  <c r="I40" i="12"/>
  <c r="H40" i="12"/>
  <c r="F40" i="12"/>
  <c r="E40" i="12"/>
  <c r="D40" i="12"/>
  <c r="C40" i="12"/>
  <c r="L19" i="12"/>
  <c r="L18" i="12"/>
  <c r="L17" i="12"/>
  <c r="M17" i="12" s="1"/>
  <c r="L16" i="12"/>
  <c r="L15" i="12"/>
  <c r="K10" i="12"/>
  <c r="H10" i="12"/>
  <c r="F10" i="12"/>
  <c r="C10" i="12"/>
  <c r="M5" i="12" l="1"/>
  <c r="M16" i="12"/>
  <c r="L20" i="12"/>
  <c r="D20" i="12"/>
  <c r="I20" i="12"/>
  <c r="D10" i="12"/>
  <c r="I10" i="12"/>
  <c r="E10" i="12"/>
  <c r="J27" i="12"/>
  <c r="J28" i="12" s="1"/>
  <c r="E20" i="12"/>
  <c r="L40" i="12"/>
  <c r="L33" i="12"/>
  <c r="L34" i="12"/>
  <c r="L35" i="12"/>
  <c r="L36" i="12"/>
  <c r="L38" i="12"/>
  <c r="L39" i="12"/>
  <c r="C20" i="12"/>
  <c r="H20" i="12"/>
  <c r="F20" i="12"/>
  <c r="N27" i="12"/>
  <c r="N28" i="12" s="1"/>
  <c r="J20" i="12"/>
  <c r="M4" i="12"/>
  <c r="J10" i="12"/>
  <c r="M15" i="12"/>
  <c r="K20" i="12"/>
  <c r="L32" i="12"/>
  <c r="L37" i="12"/>
  <c r="M10" i="12" l="1"/>
  <c r="L41" i="12"/>
  <c r="K41" i="10"/>
  <c r="J41" i="10"/>
  <c r="I41" i="10"/>
  <c r="H41" i="10"/>
  <c r="F41" i="10"/>
  <c r="E41" i="10"/>
  <c r="D41" i="10"/>
  <c r="C41" i="10"/>
  <c r="K40" i="10"/>
  <c r="J40" i="10"/>
  <c r="I40" i="10"/>
  <c r="H40" i="10"/>
  <c r="F40" i="10"/>
  <c r="E40" i="10"/>
  <c r="D40" i="10"/>
  <c r="C40" i="10"/>
  <c r="L19" i="10"/>
  <c r="L18" i="10"/>
  <c r="L17" i="10"/>
  <c r="M17" i="10"/>
  <c r="L16" i="10"/>
  <c r="K20" i="10"/>
  <c r="F20" i="10"/>
  <c r="M5" i="10"/>
  <c r="J10" i="10"/>
  <c r="I10" i="10"/>
  <c r="E10" i="10"/>
  <c r="D10" i="10"/>
  <c r="F10" i="10" l="1"/>
  <c r="K10" i="10"/>
  <c r="J27" i="10" s="1"/>
  <c r="M16" i="10"/>
  <c r="C10" i="10"/>
  <c r="C20" i="10"/>
  <c r="H20" i="10"/>
  <c r="D20" i="10"/>
  <c r="I20" i="10"/>
  <c r="E20" i="10"/>
  <c r="L40" i="10"/>
  <c r="L33" i="10"/>
  <c r="L34" i="10"/>
  <c r="L35" i="10"/>
  <c r="L36" i="10"/>
  <c r="L38" i="10"/>
  <c r="L39" i="10"/>
  <c r="J28" i="10"/>
  <c r="L32" i="10"/>
  <c r="H10" i="10"/>
  <c r="L37" i="10"/>
  <c r="L15" i="10"/>
  <c r="L20" i="10" s="1"/>
  <c r="J20" i="10"/>
  <c r="M4" i="10"/>
  <c r="M10" i="10" s="1"/>
  <c r="N27" i="10" l="1"/>
  <c r="N28" i="10" s="1"/>
  <c r="L41" i="10"/>
  <c r="M15" i="10"/>
  <c r="K41" i="9" l="1"/>
  <c r="J41" i="9"/>
  <c r="I41" i="9"/>
  <c r="H41" i="9"/>
  <c r="F41" i="9"/>
  <c r="E41" i="9"/>
  <c r="D41" i="9"/>
  <c r="C41" i="9"/>
  <c r="K40" i="9"/>
  <c r="J40" i="9"/>
  <c r="I40" i="9"/>
  <c r="H40" i="9"/>
  <c r="F40" i="9"/>
  <c r="E40" i="9"/>
  <c r="D40" i="9"/>
  <c r="C40" i="9"/>
  <c r="L19" i="9"/>
  <c r="L18" i="9"/>
  <c r="L17" i="9"/>
  <c r="L16" i="9"/>
  <c r="I20" i="9"/>
  <c r="D20" i="9"/>
  <c r="K10" i="9"/>
  <c r="J27" i="9" s="1"/>
  <c r="J10" i="9"/>
  <c r="I10" i="9"/>
  <c r="H10" i="9"/>
  <c r="F10" i="9"/>
  <c r="E10" i="9"/>
  <c r="D10" i="9"/>
  <c r="C10" i="9"/>
  <c r="L40" i="9" l="1"/>
  <c r="L33" i="9"/>
  <c r="L34" i="9"/>
  <c r="L35" i="9"/>
  <c r="L36" i="9"/>
  <c r="L38" i="9"/>
  <c r="L39" i="9"/>
  <c r="M5" i="9"/>
  <c r="E20" i="9"/>
  <c r="M15" i="9"/>
  <c r="F20" i="9"/>
  <c r="K20" i="9"/>
  <c r="M16" i="9"/>
  <c r="C20" i="9"/>
  <c r="H20" i="9"/>
  <c r="L15" i="9"/>
  <c r="L20" i="9" s="1"/>
  <c r="M17" i="9"/>
  <c r="J28" i="9"/>
  <c r="N27" i="9"/>
  <c r="N28" i="9" s="1"/>
  <c r="J20" i="9"/>
  <c r="M4" i="9"/>
  <c r="L32" i="9"/>
  <c r="L37" i="9"/>
  <c r="L41" i="9" s="1"/>
  <c r="M10" i="9" l="1"/>
  <c r="K41" i="7"/>
  <c r="J41" i="7"/>
  <c r="H41" i="7"/>
  <c r="F41" i="7"/>
  <c r="E41" i="7"/>
  <c r="C41" i="7"/>
  <c r="K40" i="7"/>
  <c r="J40" i="7"/>
  <c r="H40" i="7"/>
  <c r="F40" i="7"/>
  <c r="E40" i="7"/>
  <c r="D40" i="7"/>
  <c r="C40" i="7"/>
  <c r="L19" i="7"/>
  <c r="L18" i="7"/>
  <c r="L17" i="7"/>
  <c r="L16" i="7"/>
  <c r="L15" i="7"/>
  <c r="H20" i="7"/>
  <c r="C20" i="7"/>
  <c r="M5" i="7"/>
  <c r="K10" i="7"/>
  <c r="H10" i="7"/>
  <c r="F10" i="7"/>
  <c r="C10" i="7"/>
  <c r="J27" i="7" l="1"/>
  <c r="J28" i="7" s="1"/>
  <c r="F20" i="7"/>
  <c r="M17" i="7"/>
  <c r="D20" i="7"/>
  <c r="I20" i="7"/>
  <c r="D41" i="7"/>
  <c r="E20" i="7"/>
  <c r="M16" i="7"/>
  <c r="L33" i="7"/>
  <c r="L34" i="7"/>
  <c r="L35" i="7"/>
  <c r="L36" i="7"/>
  <c r="L38" i="7"/>
  <c r="L39" i="7"/>
  <c r="L20" i="7"/>
  <c r="I40" i="7"/>
  <c r="L40" i="7" s="1"/>
  <c r="I41" i="7"/>
  <c r="D10" i="7"/>
  <c r="I10" i="7"/>
  <c r="E10" i="7"/>
  <c r="N27" i="7"/>
  <c r="N28" i="7" s="1"/>
  <c r="J20" i="7"/>
  <c r="M4" i="7"/>
  <c r="M10" i="7" s="1"/>
  <c r="J10" i="7"/>
  <c r="M15" i="7"/>
  <c r="K20" i="7"/>
  <c r="L32" i="7"/>
  <c r="L37" i="7"/>
  <c r="L41" i="7" l="1"/>
  <c r="K41" i="6"/>
  <c r="J41" i="6"/>
  <c r="I41" i="6"/>
  <c r="H41" i="6"/>
  <c r="F41" i="6"/>
  <c r="E41" i="6"/>
  <c r="D41" i="6"/>
  <c r="C41" i="6"/>
  <c r="K40" i="6"/>
  <c r="K27" i="6" s="1"/>
  <c r="I40" i="6"/>
  <c r="F40" i="6"/>
  <c r="D40" i="6"/>
  <c r="L19" i="6"/>
  <c r="L18" i="6"/>
  <c r="L17" i="6"/>
  <c r="L16" i="6"/>
  <c r="L15" i="6"/>
  <c r="M5" i="6"/>
  <c r="I10" i="6"/>
  <c r="D10" i="6"/>
  <c r="L20" i="6" l="1"/>
  <c r="M17" i="6"/>
  <c r="E10" i="6"/>
  <c r="J10" i="6"/>
  <c r="D20" i="6"/>
  <c r="I20" i="6"/>
  <c r="C20" i="6"/>
  <c r="H20" i="6"/>
  <c r="M18" i="6"/>
  <c r="C40" i="6"/>
  <c r="H40" i="6"/>
  <c r="L32" i="6"/>
  <c r="E20" i="6"/>
  <c r="M15" i="6"/>
  <c r="M19" i="6"/>
  <c r="L33" i="6"/>
  <c r="L34" i="6"/>
  <c r="L35" i="6"/>
  <c r="L36" i="6"/>
  <c r="L38" i="6"/>
  <c r="L39" i="6"/>
  <c r="C10" i="6"/>
  <c r="H10" i="6"/>
  <c r="F10" i="6"/>
  <c r="K10" i="6"/>
  <c r="F20" i="6"/>
  <c r="K20" i="6"/>
  <c r="M16" i="6"/>
  <c r="E40" i="6"/>
  <c r="J40" i="6"/>
  <c r="J20" i="6"/>
  <c r="M4" i="6"/>
  <c r="M10" i="6" s="1"/>
  <c r="L37" i="6"/>
  <c r="N27" i="6" l="1"/>
  <c r="N28" i="6" s="1"/>
  <c r="L40" i="6"/>
  <c r="L41" i="6"/>
  <c r="J27" i="6"/>
  <c r="J28" i="6" s="1"/>
  <c r="F20" i="5" l="1"/>
  <c r="K20" i="5"/>
  <c r="L16" i="5"/>
  <c r="M16" i="5" s="1"/>
  <c r="L17" i="5"/>
  <c r="L18" i="5"/>
  <c r="L19" i="5"/>
  <c r="F40" i="5"/>
  <c r="K40" i="5"/>
  <c r="F41" i="5"/>
  <c r="K41" i="5"/>
  <c r="C10" i="5"/>
  <c r="H10" i="5"/>
  <c r="C40" i="5"/>
  <c r="H40" i="5"/>
  <c r="C41" i="5"/>
  <c r="H41" i="5"/>
  <c r="D40" i="5"/>
  <c r="I40" i="5"/>
  <c r="D41" i="5"/>
  <c r="I41" i="5"/>
  <c r="E10" i="5"/>
  <c r="J10" i="5"/>
  <c r="M5" i="5"/>
  <c r="E40" i="5"/>
  <c r="J40" i="5"/>
  <c r="E41" i="5"/>
  <c r="J41" i="5"/>
  <c r="F10" i="5"/>
  <c r="K10" i="5"/>
  <c r="D10" i="5"/>
  <c r="I10" i="5"/>
  <c r="E20" i="5"/>
  <c r="L33" i="5"/>
  <c r="L34" i="5"/>
  <c r="L35" i="5"/>
  <c r="L36" i="5"/>
  <c r="L38" i="5"/>
  <c r="L39" i="5"/>
  <c r="C20" i="5"/>
  <c r="H20" i="5"/>
  <c r="D20" i="5"/>
  <c r="I20" i="5"/>
  <c r="M17" i="5"/>
  <c r="L32" i="5"/>
  <c r="L15" i="5"/>
  <c r="J20" i="5"/>
  <c r="M4" i="5"/>
  <c r="L37" i="5"/>
  <c r="M10" i="5" l="1"/>
  <c r="N27" i="5"/>
  <c r="N28" i="5" s="1"/>
  <c r="L40" i="5"/>
  <c r="J27" i="5"/>
  <c r="J28" i="5" s="1"/>
  <c r="L20" i="5"/>
  <c r="L41" i="5"/>
  <c r="M15" i="5"/>
  <c r="K41" i="4" l="1"/>
  <c r="J41" i="4"/>
  <c r="I41" i="4"/>
  <c r="H41" i="4"/>
  <c r="F41" i="4"/>
  <c r="E41" i="4"/>
  <c r="C41" i="4"/>
  <c r="K40" i="4"/>
  <c r="J40" i="4"/>
  <c r="I40" i="4"/>
  <c r="H40" i="4"/>
  <c r="F40" i="4"/>
  <c r="E40" i="4"/>
  <c r="D40" i="4"/>
  <c r="C40" i="4"/>
  <c r="L19" i="4"/>
  <c r="L18" i="4"/>
  <c r="L17" i="4"/>
  <c r="L16" i="4"/>
  <c r="L15" i="4"/>
  <c r="H20" i="4"/>
  <c r="C20" i="4"/>
  <c r="M5" i="4"/>
  <c r="K10" i="4"/>
  <c r="J27" i="4" s="1"/>
  <c r="H10" i="4"/>
  <c r="F10" i="4"/>
  <c r="C10" i="4"/>
  <c r="F20" i="4" l="1"/>
  <c r="M17" i="4"/>
  <c r="D20" i="4"/>
  <c r="I20" i="4"/>
  <c r="D41" i="4"/>
  <c r="E20" i="4"/>
  <c r="L33" i="4"/>
  <c r="L34" i="4"/>
  <c r="L35" i="4"/>
  <c r="L36" i="4"/>
  <c r="L38" i="4"/>
  <c r="L39" i="4"/>
  <c r="D10" i="4"/>
  <c r="I10" i="4"/>
  <c r="E10" i="4"/>
  <c r="M16" i="4"/>
  <c r="L40" i="4"/>
  <c r="J28" i="4"/>
  <c r="N27" i="4"/>
  <c r="N28" i="4" s="1"/>
  <c r="L20" i="4"/>
  <c r="J20" i="4"/>
  <c r="M4" i="4"/>
  <c r="M10" i="4" s="1"/>
  <c r="J10" i="4"/>
  <c r="M15" i="4"/>
  <c r="K20" i="4"/>
  <c r="L32" i="4"/>
  <c r="L37" i="4"/>
  <c r="L41" i="4" l="1"/>
  <c r="K41" i="3"/>
  <c r="J41" i="3"/>
  <c r="I41" i="3"/>
  <c r="H41" i="3"/>
  <c r="F41" i="3"/>
  <c r="E41" i="3"/>
  <c r="D41" i="3"/>
  <c r="C41" i="3"/>
  <c r="K40" i="3"/>
  <c r="J40" i="3"/>
  <c r="I40" i="3"/>
  <c r="H40" i="3"/>
  <c r="F40" i="3"/>
  <c r="E40" i="3"/>
  <c r="D40" i="3"/>
  <c r="C40" i="3"/>
  <c r="L19" i="3"/>
  <c r="L18" i="3"/>
  <c r="L17" i="3"/>
  <c r="L16" i="3"/>
  <c r="K20" i="3"/>
  <c r="H20" i="3"/>
  <c r="F20" i="3"/>
  <c r="C20" i="3"/>
  <c r="M5" i="3"/>
  <c r="K10" i="3"/>
  <c r="J10" i="3"/>
  <c r="F10" i="3"/>
  <c r="E10" i="3"/>
  <c r="J20" i="3" l="1"/>
  <c r="E20" i="3"/>
  <c r="D10" i="3"/>
  <c r="I10" i="3"/>
  <c r="D20" i="3"/>
  <c r="I20" i="3"/>
  <c r="M16" i="3"/>
  <c r="M17" i="3"/>
  <c r="C10" i="3"/>
  <c r="L40" i="3"/>
  <c r="L33" i="3"/>
  <c r="L34" i="3"/>
  <c r="L35" i="3"/>
  <c r="L36" i="3"/>
  <c r="L38" i="3"/>
  <c r="L39" i="3"/>
  <c r="N27" i="3"/>
  <c r="N28" i="3" s="1"/>
  <c r="J28" i="3"/>
  <c r="L37" i="3"/>
  <c r="L41" i="3" s="1"/>
  <c r="L15" i="3"/>
  <c r="M4" i="3"/>
  <c r="M10" i="3" s="1"/>
  <c r="L32" i="3"/>
  <c r="L20" i="3" l="1"/>
  <c r="M15" i="3"/>
  <c r="M5" i="2" l="1"/>
  <c r="E40" i="2"/>
  <c r="J40" i="2"/>
  <c r="E41" i="2"/>
  <c r="J41" i="2"/>
  <c r="F10" i="2"/>
  <c r="K10" i="2"/>
  <c r="F6" i="1"/>
  <c r="K8" i="1"/>
  <c r="L15" i="2"/>
  <c r="M15" i="2" s="1"/>
  <c r="K15" i="1"/>
  <c r="L16" i="2"/>
  <c r="L17" i="2"/>
  <c r="M17" i="2" s="1"/>
  <c r="L18" i="2"/>
  <c r="F19" i="1"/>
  <c r="L19" i="2"/>
  <c r="F40" i="2"/>
  <c r="K40" i="2"/>
  <c r="F41" i="2"/>
  <c r="K41" i="2"/>
  <c r="C10" i="2"/>
  <c r="H10" i="2"/>
  <c r="C20" i="2"/>
  <c r="H20" i="2"/>
  <c r="H18" i="1"/>
  <c r="C40" i="2"/>
  <c r="H40" i="2"/>
  <c r="C41" i="2"/>
  <c r="H41" i="2"/>
  <c r="I4" i="1"/>
  <c r="I6" i="1"/>
  <c r="I15" i="1"/>
  <c r="D17" i="1"/>
  <c r="I17" i="1"/>
  <c r="D40" i="2"/>
  <c r="I40" i="2"/>
  <c r="L40" i="2" s="1"/>
  <c r="I41" i="2"/>
  <c r="F20" i="2"/>
  <c r="D20" i="2"/>
  <c r="I20" i="2"/>
  <c r="E20" i="2"/>
  <c r="M16" i="2"/>
  <c r="L33" i="2"/>
  <c r="L34" i="2"/>
  <c r="L35" i="2"/>
  <c r="L36" i="2"/>
  <c r="L38" i="2"/>
  <c r="L39" i="2"/>
  <c r="D41" i="2"/>
  <c r="D10" i="2"/>
  <c r="I10" i="2"/>
  <c r="E10" i="2"/>
  <c r="M19" i="2"/>
  <c r="N27" i="2"/>
  <c r="N28" i="2" s="1"/>
  <c r="L20" i="2"/>
  <c r="J20" i="2"/>
  <c r="M4" i="2"/>
  <c r="M10" i="2" s="1"/>
  <c r="J10" i="2"/>
  <c r="K20" i="2"/>
  <c r="L32" i="2"/>
  <c r="L37" i="2"/>
  <c r="K41" i="15"/>
  <c r="J41" i="15"/>
  <c r="F41" i="15"/>
  <c r="E41" i="15"/>
  <c r="D41" i="15"/>
  <c r="C41" i="15"/>
  <c r="K40" i="15"/>
  <c r="K27" i="15" s="1"/>
  <c r="J40" i="15"/>
  <c r="I40" i="15"/>
  <c r="F40" i="15"/>
  <c r="E40" i="15"/>
  <c r="C40" i="15"/>
  <c r="L19" i="15"/>
  <c r="J19" i="1"/>
  <c r="I19" i="1"/>
  <c r="H19" i="1"/>
  <c r="E19" i="1"/>
  <c r="D19" i="1"/>
  <c r="C19" i="1"/>
  <c r="L18" i="15"/>
  <c r="J18" i="1"/>
  <c r="I18" i="1"/>
  <c r="F18" i="1"/>
  <c r="E18" i="1"/>
  <c r="D18" i="1"/>
  <c r="C18" i="1"/>
  <c r="L17" i="15"/>
  <c r="J17" i="1"/>
  <c r="H17" i="1"/>
  <c r="F17" i="1"/>
  <c r="E17" i="1"/>
  <c r="C17" i="1"/>
  <c r="L16" i="15"/>
  <c r="J16" i="1"/>
  <c r="I16" i="1"/>
  <c r="H16" i="1"/>
  <c r="E16" i="1"/>
  <c r="D16" i="1"/>
  <c r="C16" i="1"/>
  <c r="K20" i="15"/>
  <c r="J15" i="1"/>
  <c r="F20" i="15"/>
  <c r="E15" i="1"/>
  <c r="D15" i="1"/>
  <c r="C20" i="15"/>
  <c r="K9" i="1"/>
  <c r="J9" i="1"/>
  <c r="I9" i="1"/>
  <c r="H9" i="1"/>
  <c r="F9" i="1"/>
  <c r="E9" i="1"/>
  <c r="D9" i="1"/>
  <c r="C9" i="1"/>
  <c r="J8" i="1"/>
  <c r="I8" i="1"/>
  <c r="H8" i="1"/>
  <c r="F8" i="1"/>
  <c r="E8" i="1"/>
  <c r="D8" i="1"/>
  <c r="C8" i="1"/>
  <c r="K7" i="1"/>
  <c r="F93" i="18" s="1"/>
  <c r="J7" i="1"/>
  <c r="I7" i="1"/>
  <c r="H7" i="1"/>
  <c r="F7" i="1"/>
  <c r="E7" i="1"/>
  <c r="D7" i="1"/>
  <c r="C7" i="1"/>
  <c r="K6" i="1"/>
  <c r="J6" i="1"/>
  <c r="H6" i="1"/>
  <c r="E6" i="1"/>
  <c r="D6" i="1"/>
  <c r="C6" i="1"/>
  <c r="K5" i="1"/>
  <c r="J5" i="1"/>
  <c r="I5" i="1"/>
  <c r="F5" i="1"/>
  <c r="E5" i="1"/>
  <c r="C5" i="1"/>
  <c r="K10" i="15"/>
  <c r="J10" i="15"/>
  <c r="H4" i="1"/>
  <c r="F10" i="15"/>
  <c r="E10" i="15"/>
  <c r="D4" i="1"/>
  <c r="C4" i="1"/>
  <c r="F90" i="18" l="1"/>
  <c r="B89" i="18"/>
  <c r="S15" i="1"/>
  <c r="T15" i="1" s="1"/>
  <c r="F92" i="18"/>
  <c r="S16" i="1"/>
  <c r="T16" i="1" s="1"/>
  <c r="F96" i="18"/>
  <c r="S14" i="1"/>
  <c r="T14" i="1" s="1"/>
  <c r="F77" i="18"/>
  <c r="B100" i="18"/>
  <c r="B105" i="18"/>
  <c r="F23" i="18"/>
  <c r="B102" i="18"/>
  <c r="F41" i="18"/>
  <c r="B93" i="18"/>
  <c r="F70" i="18"/>
  <c r="F67" i="18" s="1"/>
  <c r="B95" i="18"/>
  <c r="F62" i="18"/>
  <c r="F59" i="18" s="1"/>
  <c r="B90" i="18"/>
  <c r="F80" i="18"/>
  <c r="M5" i="1"/>
  <c r="J27" i="2"/>
  <c r="J28" i="2" s="1"/>
  <c r="D10" i="1"/>
  <c r="B40" i="18" s="1"/>
  <c r="J5" i="18" s="1"/>
  <c r="K41" i="1"/>
  <c r="J4" i="1"/>
  <c r="K19" i="1"/>
  <c r="L19" i="1" s="1"/>
  <c r="K16" i="1"/>
  <c r="L16" i="1" s="1"/>
  <c r="F15" i="1"/>
  <c r="F20" i="1" s="1"/>
  <c r="K4" i="1"/>
  <c r="F101" i="18" s="1"/>
  <c r="D20" i="1"/>
  <c r="C41" i="1"/>
  <c r="K17" i="1"/>
  <c r="L17" i="1" s="1"/>
  <c r="J41" i="1"/>
  <c r="J92" i="18" s="1"/>
  <c r="K88" i="18" s="1"/>
  <c r="C10" i="1"/>
  <c r="H20" i="15"/>
  <c r="H15" i="1"/>
  <c r="H20" i="1" s="1"/>
  <c r="H40" i="15"/>
  <c r="L34" i="1"/>
  <c r="L35" i="1"/>
  <c r="L36" i="1"/>
  <c r="H41" i="15"/>
  <c r="L38" i="1"/>
  <c r="L39" i="1"/>
  <c r="I20" i="1"/>
  <c r="I10" i="1"/>
  <c r="D40" i="15"/>
  <c r="L40" i="15" s="1"/>
  <c r="I41" i="15"/>
  <c r="C15" i="1"/>
  <c r="C20" i="1" s="1"/>
  <c r="K40" i="1"/>
  <c r="L15" i="1"/>
  <c r="J20" i="1"/>
  <c r="E20" i="1"/>
  <c r="E4" i="1"/>
  <c r="E10" i="1" s="1"/>
  <c r="K18" i="1"/>
  <c r="L18" i="1" s="1"/>
  <c r="F4" i="1"/>
  <c r="F10" i="1" s="1"/>
  <c r="J27" i="15"/>
  <c r="J28" i="15" s="1"/>
  <c r="M16" i="15"/>
  <c r="M17" i="15"/>
  <c r="L41" i="2"/>
  <c r="M5" i="15"/>
  <c r="E20" i="15"/>
  <c r="J20" i="15"/>
  <c r="C10" i="15"/>
  <c r="H10" i="15"/>
  <c r="L33" i="15"/>
  <c r="L34" i="15"/>
  <c r="L35" i="15"/>
  <c r="L36" i="15"/>
  <c r="L38" i="15"/>
  <c r="L39" i="15"/>
  <c r="D10" i="15"/>
  <c r="I10" i="15"/>
  <c r="D20" i="15"/>
  <c r="I20" i="15"/>
  <c r="N27" i="15"/>
  <c r="N28" i="15" s="1"/>
  <c r="L37" i="15"/>
  <c r="L15" i="15"/>
  <c r="M4" i="15"/>
  <c r="L32" i="15"/>
  <c r="K41" i="8"/>
  <c r="I41" i="8"/>
  <c r="H41" i="8"/>
  <c r="F41" i="8"/>
  <c r="E41" i="8"/>
  <c r="D41" i="8"/>
  <c r="C41" i="8"/>
  <c r="K40" i="8"/>
  <c r="K27" i="8" s="1"/>
  <c r="I40" i="8"/>
  <c r="H40" i="8"/>
  <c r="S6" i="8" s="1"/>
  <c r="E40" i="8"/>
  <c r="D40" i="8"/>
  <c r="C40" i="8"/>
  <c r="L19" i="8"/>
  <c r="L18" i="8"/>
  <c r="L17" i="8"/>
  <c r="L16" i="8"/>
  <c r="L15" i="8"/>
  <c r="J20" i="8"/>
  <c r="I20" i="8"/>
  <c r="E20" i="8"/>
  <c r="D20" i="8"/>
  <c r="M4" i="8"/>
  <c r="S31" i="8" s="1"/>
  <c r="J20" i="18" l="1"/>
  <c r="S24" i="1"/>
  <c r="T24" i="1" s="1"/>
  <c r="T6" i="8"/>
  <c r="T13" i="8" s="1"/>
  <c r="T17" i="8" s="1"/>
  <c r="S13" i="8"/>
  <c r="S17" i="8" s="1"/>
  <c r="S22" i="1"/>
  <c r="T22" i="1" s="1"/>
  <c r="J18" i="18"/>
  <c r="B96" i="18"/>
  <c r="L94" i="18" s="1"/>
  <c r="T31" i="8"/>
  <c r="F22" i="18"/>
  <c r="G24" i="18"/>
  <c r="B67" i="18"/>
  <c r="J10" i="18" s="1"/>
  <c r="S11" i="1"/>
  <c r="T11" i="1" s="1"/>
  <c r="B76" i="18"/>
  <c r="J11" i="18" s="1"/>
  <c r="S12" i="1"/>
  <c r="G42" i="18"/>
  <c r="F40" i="18"/>
  <c r="B107" i="18"/>
  <c r="S9" i="1"/>
  <c r="T9" i="1" s="1"/>
  <c r="B54" i="18"/>
  <c r="J8" i="18" s="1"/>
  <c r="B59" i="18"/>
  <c r="J9" i="18" s="1"/>
  <c r="S10" i="1"/>
  <c r="J10" i="1"/>
  <c r="B99" i="18"/>
  <c r="F91" i="18"/>
  <c r="S32" i="1"/>
  <c r="T32" i="1" s="1"/>
  <c r="F76" i="18"/>
  <c r="S23" i="1"/>
  <c r="J19" i="18"/>
  <c r="S7" i="1"/>
  <c r="T7" i="1" s="1"/>
  <c r="M4" i="1"/>
  <c r="L4" i="1"/>
  <c r="F102" i="18" s="1"/>
  <c r="G101" i="18" s="1"/>
  <c r="K27" i="1"/>
  <c r="L5" i="1"/>
  <c r="F94" i="18" s="1"/>
  <c r="F89" i="18" s="1"/>
  <c r="K10" i="1"/>
  <c r="L33" i="1"/>
  <c r="J40" i="1"/>
  <c r="H10" i="1"/>
  <c r="B22" i="18" s="1"/>
  <c r="J3" i="18" s="1"/>
  <c r="L20" i="1"/>
  <c r="S4" i="1" s="1"/>
  <c r="K20" i="1"/>
  <c r="L37" i="1"/>
  <c r="L41" i="1" s="1"/>
  <c r="C40" i="1"/>
  <c r="L32" i="1"/>
  <c r="J27" i="8"/>
  <c r="S29" i="8" s="1"/>
  <c r="T29" i="8" s="1"/>
  <c r="M17" i="8"/>
  <c r="M10" i="15"/>
  <c r="C20" i="8"/>
  <c r="H20" i="8"/>
  <c r="L33" i="8"/>
  <c r="S21" i="8" s="1"/>
  <c r="T21" i="8" s="1"/>
  <c r="L34" i="8"/>
  <c r="S22" i="8" s="1"/>
  <c r="L35" i="8"/>
  <c r="S23" i="8" s="1"/>
  <c r="T23" i="8" s="1"/>
  <c r="L36" i="8"/>
  <c r="S24" i="8" s="1"/>
  <c r="T24" i="8" s="1"/>
  <c r="L38" i="8"/>
  <c r="L39" i="8"/>
  <c r="F20" i="8"/>
  <c r="L41" i="15"/>
  <c r="L20" i="15"/>
  <c r="M15" i="15"/>
  <c r="M16" i="8"/>
  <c r="L20" i="8"/>
  <c r="M15" i="8"/>
  <c r="L40" i="8"/>
  <c r="K20" i="8"/>
  <c r="M5" i="8"/>
  <c r="L37" i="8"/>
  <c r="L32" i="8"/>
  <c r="S20" i="8" s="1"/>
  <c r="T20" i="8" s="1"/>
  <c r="S28" i="1" l="1"/>
  <c r="T28" i="1" s="1"/>
  <c r="F12" i="18"/>
  <c r="J16" i="18"/>
  <c r="S20" i="1"/>
  <c r="T20" i="1" s="1"/>
  <c r="J21" i="18"/>
  <c r="S25" i="1"/>
  <c r="T25" i="1" s="1"/>
  <c r="S21" i="1"/>
  <c r="T21" i="1" s="1"/>
  <c r="J17" i="18"/>
  <c r="T22" i="8"/>
  <c r="J28" i="8"/>
  <c r="G90" i="18"/>
  <c r="T10" i="1"/>
  <c r="L12" i="18"/>
  <c r="M10" i="8"/>
  <c r="S32" i="8"/>
  <c r="M10" i="1"/>
  <c r="G103" i="18"/>
  <c r="G106" i="18" s="1"/>
  <c r="F103" i="18" s="1"/>
  <c r="F99" i="18" s="1"/>
  <c r="G99" i="18" s="1"/>
  <c r="S31" i="1"/>
  <c r="T31" i="1" s="1"/>
  <c r="T12" i="1"/>
  <c r="T23" i="1"/>
  <c r="S6" i="1"/>
  <c r="T6" i="1" s="1"/>
  <c r="T8" i="1"/>
  <c r="K28" i="1"/>
  <c r="T4" i="1"/>
  <c r="L41" i="8"/>
  <c r="S25" i="8" s="1"/>
  <c r="T25" i="8" s="1"/>
  <c r="N27" i="1"/>
  <c r="N28" i="1" s="1"/>
  <c r="J27" i="1"/>
  <c r="L40" i="1"/>
  <c r="M20" i="1"/>
  <c r="N27" i="8"/>
  <c r="N28" i="8" s="1"/>
  <c r="K41" i="11"/>
  <c r="J41" i="11"/>
  <c r="I41" i="11"/>
  <c r="H41" i="11"/>
  <c r="F41" i="11"/>
  <c r="E41" i="11"/>
  <c r="D41" i="11"/>
  <c r="C41" i="11"/>
  <c r="K40" i="11"/>
  <c r="K27" i="11" s="1"/>
  <c r="J40" i="11"/>
  <c r="I40" i="11"/>
  <c r="H40" i="11"/>
  <c r="E40" i="11"/>
  <c r="D40" i="11"/>
  <c r="C40" i="11"/>
  <c r="L19" i="11"/>
  <c r="L18" i="11"/>
  <c r="L17" i="11"/>
  <c r="L16" i="11"/>
  <c r="M16" i="11" s="1"/>
  <c r="M5" i="11"/>
  <c r="J10" i="11"/>
  <c r="I10" i="11"/>
  <c r="E10" i="11"/>
  <c r="D10" i="11"/>
  <c r="S5" i="1" l="1"/>
  <c r="T5" i="1" s="1"/>
  <c r="B16" i="18"/>
  <c r="B11" i="18" s="1"/>
  <c r="J2" i="18" s="1"/>
  <c r="J12" i="18" s="1"/>
  <c r="K11" i="18" s="1"/>
  <c r="S19" i="1"/>
  <c r="T19" i="1" s="1"/>
  <c r="F11" i="18"/>
  <c r="G11" i="18" s="1"/>
  <c r="G13" i="18"/>
  <c r="J22" i="18"/>
  <c r="K19" i="18" s="1"/>
  <c r="S26" i="1"/>
  <c r="T26" i="1"/>
  <c r="S26" i="8"/>
  <c r="T26" i="8"/>
  <c r="S29" i="1"/>
  <c r="T29" i="1" s="1"/>
  <c r="T35" i="1" s="1"/>
  <c r="J93" i="18"/>
  <c r="J14" i="18" s="1"/>
  <c r="K7" i="18"/>
  <c r="K4" i="18"/>
  <c r="K2" i="18"/>
  <c r="K5" i="18"/>
  <c r="K8" i="18"/>
  <c r="K10" i="18"/>
  <c r="T32" i="8"/>
  <c r="T35" i="8" s="1"/>
  <c r="S35" i="8"/>
  <c r="K9" i="18"/>
  <c r="K3" i="18"/>
  <c r="K21" i="18"/>
  <c r="K18" i="18"/>
  <c r="K16" i="18"/>
  <c r="T13" i="1"/>
  <c r="T17" i="1" s="1"/>
  <c r="S13" i="1"/>
  <c r="S17" i="1" s="1"/>
  <c r="J28" i="1"/>
  <c r="F10" i="11"/>
  <c r="K10" i="11"/>
  <c r="H20" i="11"/>
  <c r="I20" i="11"/>
  <c r="E20" i="11"/>
  <c r="L33" i="11"/>
  <c r="L34" i="11"/>
  <c r="L35" i="11"/>
  <c r="L36" i="11"/>
  <c r="L38" i="11"/>
  <c r="L39" i="11"/>
  <c r="C20" i="11"/>
  <c r="D20" i="11"/>
  <c r="C10" i="11"/>
  <c r="H10" i="11"/>
  <c r="J27" i="11"/>
  <c r="J28" i="11" s="1"/>
  <c r="F20" i="11"/>
  <c r="K20" i="11"/>
  <c r="M17" i="11"/>
  <c r="N27" i="11"/>
  <c r="N28" i="11" s="1"/>
  <c r="L15" i="11"/>
  <c r="L20" i="11" s="1"/>
  <c r="J20" i="11"/>
  <c r="M4" i="11"/>
  <c r="M10" i="11" s="1"/>
  <c r="L32" i="11"/>
  <c r="L37" i="11"/>
  <c r="L41" i="11" s="1"/>
  <c r="K17" i="18" l="1"/>
  <c r="K20" i="18"/>
  <c r="K6" i="18"/>
  <c r="K12" i="18" s="1"/>
  <c r="T36" i="1"/>
  <c r="T36" i="8"/>
  <c r="T37" i="8" s="1"/>
  <c r="T38" i="8" s="1"/>
  <c r="S35" i="1"/>
  <c r="K94" i="18"/>
  <c r="J88" i="18"/>
  <c r="J95" i="18"/>
  <c r="K22" i="18"/>
  <c r="T37" i="1"/>
  <c r="M15" i="11"/>
</calcChain>
</file>

<file path=xl/comments1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0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1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2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3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4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5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6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7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2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3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4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5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6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7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8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9.xml><?xml version="1.0" encoding="utf-8"?>
<comments xmlns="http://schemas.openxmlformats.org/spreadsheetml/2006/main">
  <authors>
    <author>Chris Hellström</author>
    <author>www.statistikdatabasen.scb.se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sharedStrings.xml><?xml version="1.0" encoding="utf-8"?>
<sst xmlns="http://schemas.openxmlformats.org/spreadsheetml/2006/main" count="1797" uniqueCount="153">
  <si>
    <t>Icke förnybar</t>
  </si>
  <si>
    <t>Förnybar</t>
  </si>
  <si>
    <t>summa produktionssätt</t>
  </si>
  <si>
    <t>elproduktion/FJVproduktion</t>
  </si>
  <si>
    <t>Summa insatta bränslen till omvandling eller summa förbrukarkategori</t>
  </si>
  <si>
    <t>Lokal produktion av el/Fjv</t>
  </si>
  <si>
    <t>Omvandlingsförluster, egenanvändning i energisektorn och statistisk differens</t>
  </si>
  <si>
    <t>Fjärrvärmeproduktion</t>
  </si>
  <si>
    <t>kraftvärmeverk</t>
  </si>
  <si>
    <t>fristående värmeverk</t>
  </si>
  <si>
    <t>elpannor (1)</t>
  </si>
  <si>
    <t>värmepumpar (2)</t>
  </si>
  <si>
    <t>spillvärme</t>
  </si>
  <si>
    <t>rökgaskondens</t>
  </si>
  <si>
    <t>summa bränsletyp</t>
  </si>
  <si>
    <t>Fjärrkylaproduktion</t>
  </si>
  <si>
    <t>Elproduktion</t>
  </si>
  <si>
    <t>nettoproduktion</t>
  </si>
  <si>
    <t>bruttoproduktion</t>
  </si>
  <si>
    <t>Egenanvändning</t>
  </si>
  <si>
    <t xml:space="preserve">kraftvärmeverk </t>
  </si>
  <si>
    <t>industriellt mottryck</t>
  </si>
  <si>
    <t>övrig värmekraft (kärnkraft, kondenskraft o.dyl.)</t>
  </si>
  <si>
    <t>vattenkraft</t>
  </si>
  <si>
    <t>vindkraft</t>
  </si>
  <si>
    <t>Biogas</t>
  </si>
  <si>
    <t>Fjärrvärme</t>
  </si>
  <si>
    <t>El</t>
  </si>
  <si>
    <t>förluster fjv %</t>
  </si>
  <si>
    <t>Överföringsförluster</t>
  </si>
  <si>
    <t>Import - export</t>
  </si>
  <si>
    <t>Slutlig energianvändning</t>
  </si>
  <si>
    <t>fjärrvärme</t>
  </si>
  <si>
    <t>el</t>
  </si>
  <si>
    <t>summa förbrukarkategori</t>
  </si>
  <si>
    <t>Jord,skog,fiske</t>
  </si>
  <si>
    <t>Industri</t>
  </si>
  <si>
    <t>Offentlig verksamhet</t>
  </si>
  <si>
    <t>Transporter</t>
  </si>
  <si>
    <t>Övriga tjänster</t>
  </si>
  <si>
    <t>Småhus</t>
  </si>
  <si>
    <t>Flerbostadshus</t>
  </si>
  <si>
    <t>Fritidshus</t>
  </si>
  <si>
    <t>Summa bränsletyp</t>
  </si>
  <si>
    <t>Hushåll</t>
  </si>
  <si>
    <t>Ind mottryck</t>
  </si>
  <si>
    <t>fjärrvämre</t>
  </si>
  <si>
    <t>trädbränslen</t>
  </si>
  <si>
    <t>IN</t>
  </si>
  <si>
    <t>UT</t>
  </si>
  <si>
    <t>Andelar</t>
  </si>
  <si>
    <t>GWh</t>
  </si>
  <si>
    <t>%</t>
  </si>
  <si>
    <t>Trädbränslen</t>
  </si>
  <si>
    <t>Vind in</t>
  </si>
  <si>
    <t>Torv</t>
  </si>
  <si>
    <t>Avfall</t>
  </si>
  <si>
    <t>Vatten in</t>
  </si>
  <si>
    <t>Avlutar</t>
  </si>
  <si>
    <t>Gasol/naturgas</t>
  </si>
  <si>
    <t>Biooljor/biodrivmedel</t>
  </si>
  <si>
    <t>Oljeprodukter</t>
  </si>
  <si>
    <t>El in</t>
  </si>
  <si>
    <t>El ut</t>
  </si>
  <si>
    <t>varav kraftv</t>
  </si>
  <si>
    <t>Förluster</t>
  </si>
  <si>
    <t>varav ind mottryck</t>
  </si>
  <si>
    <t>jordbruk</t>
  </si>
  <si>
    <t>Fjärvärme</t>
  </si>
  <si>
    <t>off verksamhet</t>
  </si>
  <si>
    <t>import</t>
  </si>
  <si>
    <t>övr tjänster</t>
  </si>
  <si>
    <t>Export</t>
  </si>
  <si>
    <t>Fjärrvärmev</t>
  </si>
  <si>
    <t>Torv in</t>
  </si>
  <si>
    <t>torv ut</t>
  </si>
  <si>
    <t>Avfall in</t>
  </si>
  <si>
    <t>Avfall ut</t>
  </si>
  <si>
    <t>Avlutar in</t>
  </si>
  <si>
    <t>Avlutar ut</t>
  </si>
  <si>
    <t>Gasol/naturgas in</t>
  </si>
  <si>
    <t>gasol ut</t>
  </si>
  <si>
    <t>Biogas in</t>
  </si>
  <si>
    <t>biogas ut</t>
  </si>
  <si>
    <t>Biooljor/-drivmedel</t>
  </si>
  <si>
    <t>Biooljor/-drivmedel ut</t>
  </si>
  <si>
    <t>Jordbruk</t>
  </si>
  <si>
    <t>oljeprodukter in</t>
  </si>
  <si>
    <t>oljeprodukter ut</t>
  </si>
  <si>
    <t>Spillvärme</t>
  </si>
  <si>
    <t>FJV: trädbränslen</t>
  </si>
  <si>
    <t>inköpt biogas</t>
  </si>
  <si>
    <t>Antal anläggningar</t>
  </si>
  <si>
    <t>Rötkammarvolym</t>
  </si>
  <si>
    <t>Biogasproduktion</t>
  </si>
  <si>
    <t>Deponigasproduktion</t>
  </si>
  <si>
    <t>Biogasproduktion total</t>
  </si>
  <si>
    <t>Värmland</t>
  </si>
  <si>
    <t>Fordonsgas</t>
  </si>
  <si>
    <t>MWh</t>
  </si>
  <si>
    <t>biogas</t>
  </si>
  <si>
    <t>naturgas</t>
  </si>
  <si>
    <t>56% biogas</t>
  </si>
  <si>
    <t>summa exkl förluster</t>
  </si>
  <si>
    <t>Fasta biobränslen</t>
  </si>
  <si>
    <t>Elprod i kommun/län</t>
  </si>
  <si>
    <t>Import el</t>
  </si>
  <si>
    <t>Koks</t>
  </si>
  <si>
    <t>summa tillförda bränslen</t>
  </si>
  <si>
    <t>spillv</t>
  </si>
  <si>
    <t>rökgaskond</t>
  </si>
  <si>
    <t>elpannor, värmepumpar</t>
  </si>
  <si>
    <t>summa tillförd energi</t>
  </si>
  <si>
    <t>export el</t>
  </si>
  <si>
    <t>summa använd i sektorer</t>
  </si>
  <si>
    <t>förluster:</t>
  </si>
  <si>
    <t>överföring el</t>
  </si>
  <si>
    <t>överföring fjv</t>
  </si>
  <si>
    <t>egenanv el</t>
  </si>
  <si>
    <t>omvandling värme kraftv</t>
  </si>
  <si>
    <t>omvandling värme fjv</t>
  </si>
  <si>
    <t>omvandling el kraftv</t>
  </si>
  <si>
    <t>omvandling el mottryck</t>
  </si>
  <si>
    <t>summa förluster</t>
  </si>
  <si>
    <t>summa använd+förluster+elexport</t>
  </si>
  <si>
    <t>Differens tillförd-använd inkl förluster</t>
  </si>
  <si>
    <t>Förluster överföring</t>
  </si>
  <si>
    <t>Trädbränslen ut</t>
  </si>
  <si>
    <t>varav kraftv-värme</t>
  </si>
  <si>
    <t>varav kraftv-el</t>
  </si>
  <si>
    <t>koks</t>
  </si>
  <si>
    <t>Fjärrvärme (exkl kraftvärme)</t>
  </si>
  <si>
    <t>Fjärrvärme ut</t>
  </si>
  <si>
    <t>Fjärrvärme fr bränslen</t>
  </si>
  <si>
    <t>Förluster omvandling</t>
  </si>
  <si>
    <t>elpannor</t>
  </si>
  <si>
    <t>biooljor</t>
  </si>
  <si>
    <t>värmepumpar</t>
  </si>
  <si>
    <t>Förluster (överföring)</t>
  </si>
  <si>
    <t>rökgaskondens fjv</t>
  </si>
  <si>
    <t>summa bränslen</t>
  </si>
  <si>
    <t>Kraftvärme</t>
  </si>
  <si>
    <t>Värme</t>
  </si>
  <si>
    <t>Rökgaskondens</t>
  </si>
  <si>
    <t>Biooljor</t>
  </si>
  <si>
    <t>värmeprod omv</t>
  </si>
  <si>
    <t>elprod omv</t>
  </si>
  <si>
    <t>förluster elprod omvandling</t>
  </si>
  <si>
    <t>fasta biobränslen in</t>
  </si>
  <si>
    <t>fasta biobränslen</t>
  </si>
  <si>
    <t>varav kraftv värme</t>
  </si>
  <si>
    <t>varav kraftv el</t>
  </si>
  <si>
    <t>Egenanv vind/vatten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</si>
</sst>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-* #,##0\ _k_r_-;\-* #,##0\ _k_r_-;_-* &quot;-&quot;??\ _k_r_-;_-@_-"/>
    <numFmt numFmtId="165" formatCode="_-* #,##0.0\ _k_r_-;\-* #,##0.0\ _k_r_-;_-* &quot;-&quot;??\ _k_r_-;_-@_-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sz val="11"/>
      <color indexed="81"/>
      <name val="Tahoma"/>
      <family val="2"/>
    </font>
    <font>
      <u val="singleAccounting"/>
      <sz val="11"/>
      <color rgb="FFFF0000"/>
      <name val="Calibri"/>
      <family val="2"/>
    </font>
    <font>
      <sz val="11"/>
      <name val="Calibri"/>
      <family val="2"/>
    </font>
    <font>
      <u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u val="singleAccounting"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Fill="1" applyProtection="1"/>
    <xf numFmtId="0" fontId="3" fillId="2" borderId="0" xfId="0" applyFont="1" applyFill="1" applyProtection="1"/>
    <xf numFmtId="0" fontId="3" fillId="3" borderId="0" xfId="0" applyFont="1" applyFill="1" applyProtection="1"/>
    <xf numFmtId="0" fontId="0" fillId="3" borderId="0" xfId="0" applyFill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Protection="1"/>
    <xf numFmtId="0" fontId="3" fillId="2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wrapText="1"/>
    </xf>
    <xf numFmtId="0" fontId="4" fillId="0" borderId="3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5" fillId="4" borderId="4" xfId="0" applyFont="1" applyFill="1" applyBorder="1" applyProtection="1"/>
    <xf numFmtId="0" fontId="3" fillId="4" borderId="0" xfId="0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6" fillId="4" borderId="0" xfId="0" applyFont="1" applyFill="1" applyBorder="1" applyAlignment="1" applyProtection="1">
      <alignment wrapText="1"/>
    </xf>
    <xf numFmtId="0" fontId="3" fillId="0" borderId="4" xfId="0" applyFont="1" applyFill="1" applyBorder="1" applyProtection="1"/>
    <xf numFmtId="164" fontId="0" fillId="0" borderId="0" xfId="1" applyNumberFormat="1" applyFont="1" applyFill="1" applyBorder="1" applyProtection="1"/>
    <xf numFmtId="164" fontId="0" fillId="0" borderId="0" xfId="1" applyNumberFormat="1" applyFont="1" applyFill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wrapText="1"/>
    </xf>
    <xf numFmtId="0" fontId="0" fillId="0" borderId="4" xfId="0" applyFill="1" applyBorder="1" applyProtection="1"/>
    <xf numFmtId="164" fontId="0" fillId="0" borderId="5" xfId="1" applyNumberFormat="1" applyFont="1" applyFill="1" applyBorder="1" applyProtection="1"/>
    <xf numFmtId="0" fontId="7" fillId="4" borderId="4" xfId="0" applyFont="1" applyFill="1" applyBorder="1" applyProtection="1"/>
    <xf numFmtId="0" fontId="3" fillId="4" borderId="0" xfId="0" applyFont="1" applyFill="1" applyProtection="1"/>
    <xf numFmtId="0" fontId="0" fillId="0" borderId="0" xfId="0" applyFill="1" applyAlignment="1" applyProtection="1">
      <alignment horizontal="right"/>
    </xf>
    <xf numFmtId="9" fontId="0" fillId="0" borderId="0" xfId="0" applyNumberFormat="1" applyFill="1" applyProtection="1"/>
    <xf numFmtId="164" fontId="0" fillId="0" borderId="0" xfId="0" applyNumberFormat="1" applyFill="1" applyProtection="1"/>
    <xf numFmtId="10" fontId="0" fillId="0" borderId="0" xfId="0" applyNumberFormat="1" applyFill="1" applyProtection="1"/>
    <xf numFmtId="1" fontId="0" fillId="0" borderId="0" xfId="0" applyNumberFormat="1" applyFill="1" applyProtection="1"/>
    <xf numFmtId="1" fontId="3" fillId="0" borderId="0" xfId="0" applyNumberFormat="1" applyFont="1" applyFill="1" applyBorder="1" applyProtection="1"/>
    <xf numFmtId="164" fontId="0" fillId="0" borderId="0" xfId="1" applyNumberFormat="1" applyFont="1" applyFill="1" applyProtection="1"/>
    <xf numFmtId="0" fontId="4" fillId="0" borderId="6" xfId="0" applyFont="1" applyFill="1" applyBorder="1" applyProtection="1"/>
    <xf numFmtId="164" fontId="0" fillId="0" borderId="7" xfId="1" applyNumberFormat="1" applyFont="1" applyFill="1" applyBorder="1" applyProtection="1"/>
    <xf numFmtId="164" fontId="0" fillId="0" borderId="8" xfId="1" applyNumberFormat="1" applyFont="1" applyFill="1" applyBorder="1" applyProtection="1"/>
    <xf numFmtId="0" fontId="0" fillId="0" borderId="2" xfId="0" applyFill="1" applyBorder="1" applyProtection="1"/>
    <xf numFmtId="0" fontId="4" fillId="0" borderId="4" xfId="0" applyFont="1" applyFill="1" applyBorder="1" applyProtection="1"/>
    <xf numFmtId="164" fontId="0" fillId="5" borderId="0" xfId="0" applyNumberFormat="1" applyFill="1" applyBorder="1" applyProtection="1"/>
    <xf numFmtId="0" fontId="5" fillId="0" borderId="4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Protection="1"/>
    <xf numFmtId="0" fontId="3" fillId="0" borderId="6" xfId="0" applyFont="1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3" fillId="0" borderId="0" xfId="0" applyFont="1" applyFill="1" applyBorder="1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0" xfId="0" applyNumberFormat="1" applyBorder="1"/>
    <xf numFmtId="0" fontId="0" fillId="0" borderId="0" xfId="0" applyBorder="1"/>
    <xf numFmtId="3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64" fontId="0" fillId="0" borderId="0" xfId="0" applyNumberFormat="1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165" fontId="0" fillId="0" borderId="5" xfId="1" applyNumberFormat="1" applyFont="1" applyBorder="1"/>
    <xf numFmtId="3" fontId="0" fillId="0" borderId="0" xfId="0" applyNumberFormat="1" applyFill="1" applyBorder="1" applyProtection="1"/>
    <xf numFmtId="3" fontId="0" fillId="0" borderId="5" xfId="0" applyNumberFormat="1" applyFill="1" applyBorder="1" applyProtection="1"/>
    <xf numFmtId="3" fontId="0" fillId="0" borderId="0" xfId="0" applyNumberFormat="1" applyFill="1" applyProtection="1"/>
    <xf numFmtId="3" fontId="13" fillId="5" borderId="0" xfId="1" applyNumberFormat="1" applyFont="1" applyFill="1" applyBorder="1" applyAlignment="1" applyProtection="1">
      <alignment horizontal="right"/>
    </xf>
    <xf numFmtId="3" fontId="0" fillId="5" borderId="0" xfId="1" applyNumberFormat="1" applyFont="1" applyFill="1" applyBorder="1" applyAlignment="1" applyProtection="1">
      <alignment horizontal="right"/>
    </xf>
    <xf numFmtId="3" fontId="0" fillId="0" borderId="0" xfId="1" applyNumberFormat="1" applyFont="1" applyFill="1" applyAlignment="1" applyProtection="1">
      <alignment horizontal="right"/>
    </xf>
    <xf numFmtId="3" fontId="0" fillId="5" borderId="5" xfId="1" applyNumberFormat="1" applyFont="1" applyFill="1" applyBorder="1" applyAlignment="1" applyProtection="1">
      <alignment horizontal="right"/>
    </xf>
    <xf numFmtId="3" fontId="0" fillId="0" borderId="0" xfId="0" applyNumberFormat="1" applyFill="1" applyAlignment="1" applyProtection="1">
      <alignment horizontal="right" wrapText="1"/>
    </xf>
    <xf numFmtId="3" fontId="0" fillId="0" borderId="0" xfId="1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wrapText="1"/>
    </xf>
    <xf numFmtId="3" fontId="3" fillId="0" borderId="0" xfId="1" applyNumberFormat="1" applyFont="1" applyFill="1" applyBorder="1" applyAlignment="1" applyProtection="1">
      <alignment horizontal="right" wrapText="1"/>
    </xf>
    <xf numFmtId="3" fontId="0" fillId="0" borderId="0" xfId="1" applyNumberFormat="1" applyFont="1" applyFill="1" applyBorder="1" applyAlignment="1" applyProtection="1">
      <alignment horizontal="right" wrapText="1"/>
    </xf>
    <xf numFmtId="3" fontId="0" fillId="0" borderId="5" xfId="0" applyNumberFormat="1" applyFill="1" applyBorder="1" applyAlignment="1" applyProtection="1">
      <alignment horizontal="right" wrapText="1"/>
    </xf>
    <xf numFmtId="3" fontId="0" fillId="0" borderId="0" xfId="0" applyNumberFormat="1" applyFill="1" applyBorder="1" applyAlignment="1" applyProtection="1">
      <alignment horizontal="right"/>
    </xf>
    <xf numFmtId="3" fontId="0" fillId="0" borderId="5" xfId="0" applyNumberFormat="1" applyFill="1" applyBorder="1" applyAlignment="1" applyProtection="1">
      <alignment horizontal="right"/>
    </xf>
    <xf numFmtId="3" fontId="0" fillId="4" borderId="0" xfId="0" applyNumberFormat="1" applyFill="1" applyAlignment="1" applyProtection="1">
      <alignment horizontal="right"/>
    </xf>
    <xf numFmtId="3" fontId="3" fillId="4" borderId="0" xfId="1" applyNumberFormat="1" applyFont="1" applyFill="1" applyBorder="1" applyAlignment="1" applyProtection="1">
      <alignment horizontal="right" wrapText="1"/>
    </xf>
    <xf numFmtId="3" fontId="2" fillId="4" borderId="0" xfId="0" applyNumberFormat="1" applyFont="1" applyFill="1" applyBorder="1" applyAlignment="1" applyProtection="1">
      <alignment horizontal="right"/>
    </xf>
    <xf numFmtId="3" fontId="0" fillId="4" borderId="5" xfId="0" applyNumberFormat="1" applyFill="1" applyBorder="1" applyAlignment="1" applyProtection="1">
      <alignment horizontal="right"/>
    </xf>
    <xf numFmtId="3" fontId="17" fillId="5" borderId="0" xfId="1" applyNumberFormat="1" applyFont="1" applyFill="1" applyAlignment="1" applyProtection="1">
      <alignment horizontal="right"/>
    </xf>
    <xf numFmtId="3" fontId="0" fillId="5" borderId="0" xfId="0" applyNumberFormat="1" applyFill="1" applyAlignment="1" applyProtection="1">
      <alignment horizontal="right"/>
    </xf>
    <xf numFmtId="3" fontId="1" fillId="5" borderId="0" xfId="1" applyNumberFormat="1" applyFont="1" applyFill="1" applyBorder="1" applyAlignment="1" applyProtection="1">
      <alignment horizontal="right"/>
    </xf>
    <xf numFmtId="3" fontId="0" fillId="0" borderId="0" xfId="0" applyNumberFormat="1" applyFill="1" applyAlignment="1" applyProtection="1">
      <alignment horizontal="right"/>
    </xf>
    <xf numFmtId="3" fontId="0" fillId="0" borderId="7" xfId="0" applyNumberFormat="1" applyFill="1" applyBorder="1" applyAlignment="1" applyProtection="1">
      <alignment horizontal="right"/>
    </xf>
    <xf numFmtId="3" fontId="0" fillId="0" borderId="8" xfId="0" applyNumberFormat="1" applyFill="1" applyBorder="1" applyAlignment="1" applyProtection="1">
      <alignment horizontal="right"/>
    </xf>
    <xf numFmtId="3" fontId="0" fillId="0" borderId="2" xfId="1" applyNumberFormat="1" applyFont="1" applyFill="1" applyBorder="1" applyAlignment="1" applyProtection="1">
      <alignment horizontal="right"/>
    </xf>
    <xf numFmtId="3" fontId="2" fillId="4" borderId="2" xfId="1" applyNumberFormat="1" applyFont="1" applyFill="1" applyBorder="1" applyAlignment="1" applyProtection="1">
      <alignment horizontal="right"/>
    </xf>
    <xf numFmtId="3" fontId="2" fillId="4" borderId="3" xfId="1" applyNumberFormat="1" applyFont="1" applyFill="1" applyBorder="1" applyAlignment="1" applyProtection="1">
      <alignment horizontal="right"/>
    </xf>
    <xf numFmtId="3" fontId="0" fillId="0" borderId="7" xfId="1" applyNumberFormat="1" applyFont="1" applyFill="1" applyBorder="1" applyAlignment="1" applyProtection="1">
      <alignment horizontal="right"/>
    </xf>
    <xf numFmtId="3" fontId="0" fillId="5" borderId="7" xfId="1" applyNumberFormat="1" applyFont="1" applyFill="1" applyBorder="1" applyAlignment="1" applyProtection="1">
      <alignment horizontal="right"/>
    </xf>
    <xf numFmtId="3" fontId="0" fillId="5" borderId="8" xfId="1" applyNumberFormat="1" applyFont="1" applyFill="1" applyBorder="1" applyAlignment="1" applyProtection="1">
      <alignment horizontal="right"/>
    </xf>
    <xf numFmtId="3" fontId="3" fillId="0" borderId="2" xfId="1" applyNumberFormat="1" applyFont="1" applyFill="1" applyBorder="1" applyAlignment="1" applyProtection="1">
      <alignment horizontal="right"/>
    </xf>
    <xf numFmtId="3" fontId="0" fillId="0" borderId="3" xfId="1" applyNumberFormat="1" applyFont="1" applyFill="1" applyBorder="1" applyAlignment="1" applyProtection="1">
      <alignment horizontal="right"/>
    </xf>
    <xf numFmtId="3" fontId="3" fillId="0" borderId="0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horizontal="right"/>
    </xf>
    <xf numFmtId="3" fontId="3" fillId="0" borderId="0" xfId="1" applyNumberFormat="1" applyFont="1" applyFill="1" applyAlignment="1" applyProtection="1">
      <alignment horizontal="right"/>
    </xf>
    <xf numFmtId="3" fontId="3" fillId="4" borderId="0" xfId="1" applyNumberFormat="1" applyFont="1" applyFill="1" applyBorder="1" applyAlignment="1" applyProtection="1">
      <alignment horizontal="right"/>
    </xf>
    <xf numFmtId="3" fontId="14" fillId="5" borderId="0" xfId="0" applyNumberFormat="1" applyFont="1" applyFill="1" applyBorder="1" applyAlignment="1" applyProtection="1">
      <alignment horizontal="right"/>
    </xf>
    <xf numFmtId="3" fontId="0" fillId="5" borderId="0" xfId="0" applyNumberFormat="1" applyFill="1" applyBorder="1" applyAlignment="1" applyProtection="1">
      <alignment horizontal="right"/>
    </xf>
    <xf numFmtId="3" fontId="3" fillId="5" borderId="0" xfId="0" applyNumberFormat="1" applyFont="1" applyFill="1" applyAlignment="1" applyProtection="1">
      <alignment horizontal="right"/>
    </xf>
    <xf numFmtId="3" fontId="0" fillId="0" borderId="2" xfId="0" applyNumberFormat="1" applyFill="1" applyBorder="1" applyAlignment="1" applyProtection="1">
      <alignment horizontal="right"/>
    </xf>
    <xf numFmtId="3" fontId="2" fillId="4" borderId="2" xfId="0" applyNumberFormat="1" applyFont="1" applyFill="1" applyBorder="1" applyAlignment="1" applyProtection="1">
      <alignment horizontal="right"/>
    </xf>
    <xf numFmtId="3" fontId="2" fillId="4" borderId="3" xfId="0" applyNumberFormat="1" applyFont="1" applyFill="1" applyBorder="1" applyAlignment="1" applyProtection="1">
      <alignment horizontal="right"/>
    </xf>
    <xf numFmtId="3" fontId="0" fillId="5" borderId="5" xfId="0" applyNumberFormat="1" applyFill="1" applyBorder="1" applyAlignment="1" applyProtection="1">
      <alignment horizontal="right"/>
    </xf>
    <xf numFmtId="3" fontId="0" fillId="5" borderId="7" xfId="0" applyNumberFormat="1" applyFill="1" applyBorder="1" applyAlignment="1" applyProtection="1">
      <alignment horizontal="right"/>
    </xf>
    <xf numFmtId="3" fontId="3" fillId="0" borderId="2" xfId="0" applyNumberFormat="1" applyFont="1" applyFill="1" applyBorder="1" applyAlignment="1" applyProtection="1">
      <alignment horizontal="right"/>
    </xf>
    <xf numFmtId="3" fontId="0" fillId="0" borderId="3" xfId="0" applyNumberForma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5" xfId="0" applyNumberFormat="1" applyFont="1" applyFill="1" applyBorder="1" applyAlignment="1" applyProtection="1">
      <alignment horizontal="right"/>
    </xf>
    <xf numFmtId="3" fontId="14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" fontId="12" fillId="5" borderId="0" xfId="1" applyNumberFormat="1" applyFont="1" applyFill="1" applyBorder="1" applyAlignment="1" applyProtection="1">
      <alignment horizontal="right"/>
    </xf>
    <xf numFmtId="3" fontId="12" fillId="0" borderId="0" xfId="1" applyNumberFormat="1" applyFont="1" applyFill="1" applyAlignment="1" applyProtection="1">
      <alignment horizontal="right"/>
    </xf>
    <xf numFmtId="3" fontId="12" fillId="0" borderId="0" xfId="1" applyNumberFormat="1" applyFont="1" applyFill="1" applyBorder="1" applyAlignment="1" applyProtection="1">
      <alignment horizontal="right"/>
    </xf>
    <xf numFmtId="3" fontId="0" fillId="0" borderId="0" xfId="1" applyNumberFormat="1" applyFont="1" applyFill="1" applyAlignment="1" applyProtection="1">
      <alignment horizontal="right" wrapText="1"/>
    </xf>
    <xf numFmtId="3" fontId="0" fillId="0" borderId="5" xfId="1" applyNumberFormat="1" applyFont="1" applyFill="1" applyBorder="1" applyAlignment="1" applyProtection="1">
      <alignment horizontal="right" wrapText="1"/>
    </xf>
    <xf numFmtId="3" fontId="0" fillId="0" borderId="5" xfId="1" applyNumberFormat="1" applyFont="1" applyFill="1" applyBorder="1" applyAlignment="1" applyProtection="1">
      <alignment horizontal="right"/>
    </xf>
    <xf numFmtId="3" fontId="0" fillId="4" borderId="0" xfId="1" applyNumberFormat="1" applyFont="1" applyFill="1" applyAlignment="1" applyProtection="1">
      <alignment horizontal="right"/>
    </xf>
    <xf numFmtId="3" fontId="2" fillId="4" borderId="0" xfId="1" applyNumberFormat="1" applyFont="1" applyFill="1" applyBorder="1" applyAlignment="1" applyProtection="1">
      <alignment horizontal="right"/>
    </xf>
    <xf numFmtId="3" fontId="0" fillId="4" borderId="5" xfId="1" applyNumberFormat="1" applyFont="1" applyFill="1" applyBorder="1" applyAlignment="1" applyProtection="1">
      <alignment horizontal="right"/>
    </xf>
    <xf numFmtId="3" fontId="3" fillId="5" borderId="0" xfId="1" applyNumberFormat="1" applyFont="1" applyFill="1" applyAlignment="1" applyProtection="1">
      <alignment horizontal="right"/>
    </xf>
    <xf numFmtId="3" fontId="0" fillId="5" borderId="0" xfId="1" applyNumberFormat="1" applyFont="1" applyFill="1" applyAlignment="1" applyProtection="1">
      <alignment horizontal="right"/>
    </xf>
    <xf numFmtId="3" fontId="0" fillId="0" borderId="8" xfId="1" applyNumberFormat="1" applyFont="1" applyFill="1" applyBorder="1" applyAlignment="1" applyProtection="1">
      <alignment horizontal="right"/>
    </xf>
    <xf numFmtId="3" fontId="13" fillId="0" borderId="0" xfId="1" applyNumberFormat="1" applyFont="1" applyFill="1" applyBorder="1" applyAlignment="1" applyProtection="1">
      <alignment horizontal="right"/>
    </xf>
    <xf numFmtId="3" fontId="12" fillId="5" borderId="5" xfId="1" applyNumberFormat="1" applyFont="1" applyFill="1" applyBorder="1" applyAlignment="1" applyProtection="1">
      <alignment horizontal="right"/>
    </xf>
    <xf numFmtId="3" fontId="14" fillId="5" borderId="0" xfId="1" applyNumberFormat="1" applyFont="1" applyFill="1" applyBorder="1" applyAlignment="1" applyProtection="1">
      <alignment horizontal="right"/>
    </xf>
    <xf numFmtId="166" fontId="0" fillId="0" borderId="0" xfId="1" applyNumberFormat="1" applyFont="1" applyFill="1" applyAlignment="1" applyProtection="1">
      <alignment horizontal="right"/>
    </xf>
    <xf numFmtId="166" fontId="0" fillId="0" borderId="0" xfId="1" applyNumberFormat="1" applyFont="1" applyFill="1" applyBorder="1" applyAlignment="1" applyProtection="1">
      <alignment horizontal="right"/>
    </xf>
    <xf numFmtId="166" fontId="0" fillId="0" borderId="0" xfId="1" applyNumberFormat="1" applyFont="1" applyFill="1" applyAlignment="1" applyProtection="1">
      <alignment horizontal="right" wrapText="1"/>
    </xf>
    <xf numFmtId="166" fontId="0" fillId="5" borderId="5" xfId="1" applyNumberFormat="1" applyFont="1" applyFill="1" applyBorder="1" applyAlignment="1" applyProtection="1">
      <alignment horizontal="right"/>
    </xf>
    <xf numFmtId="166" fontId="3" fillId="0" borderId="0" xfId="1" applyNumberFormat="1" applyFont="1" applyFill="1" applyBorder="1" applyAlignment="1" applyProtection="1">
      <alignment horizontal="right" wrapText="1"/>
    </xf>
    <xf numFmtId="166" fontId="0" fillId="0" borderId="0" xfId="1" applyNumberFormat="1" applyFont="1" applyFill="1" applyBorder="1" applyAlignment="1" applyProtection="1">
      <alignment horizontal="right" wrapText="1"/>
    </xf>
    <xf numFmtId="166" fontId="0" fillId="0" borderId="5" xfId="1" applyNumberFormat="1" applyFont="1" applyFill="1" applyBorder="1" applyAlignment="1" applyProtection="1">
      <alignment horizontal="right" wrapText="1"/>
    </xf>
    <xf numFmtId="166" fontId="0" fillId="0" borderId="5" xfId="1" applyNumberFormat="1" applyFont="1" applyFill="1" applyBorder="1" applyAlignment="1" applyProtection="1">
      <alignment horizontal="right"/>
    </xf>
    <xf numFmtId="166" fontId="0" fillId="4" borderId="0" xfId="1" applyNumberFormat="1" applyFont="1" applyFill="1" applyAlignment="1" applyProtection="1">
      <alignment horizontal="right"/>
    </xf>
    <xf numFmtId="166" fontId="2" fillId="4" borderId="0" xfId="1" applyNumberFormat="1" applyFont="1" applyFill="1" applyBorder="1" applyAlignment="1" applyProtection="1">
      <alignment horizontal="right"/>
    </xf>
    <xf numFmtId="166" fontId="0" fillId="4" borderId="5" xfId="1" applyNumberFormat="1" applyFont="1" applyFill="1" applyBorder="1" applyAlignment="1" applyProtection="1">
      <alignment horizontal="right"/>
    </xf>
    <xf numFmtId="166" fontId="3" fillId="5" borderId="0" xfId="1" applyNumberFormat="1" applyFont="1" applyFill="1" applyAlignment="1" applyProtection="1">
      <alignment horizontal="right"/>
    </xf>
    <xf numFmtId="166" fontId="0" fillId="5" borderId="0" xfId="1" applyNumberFormat="1" applyFont="1" applyFill="1" applyAlignment="1" applyProtection="1">
      <alignment horizontal="right"/>
    </xf>
    <xf numFmtId="166" fontId="1" fillId="5" borderId="0" xfId="1" applyNumberFormat="1" applyFont="1" applyFill="1" applyBorder="1" applyAlignment="1" applyProtection="1">
      <alignment horizontal="right"/>
    </xf>
    <xf numFmtId="166" fontId="0" fillId="0" borderId="7" xfId="1" applyNumberFormat="1" applyFont="1" applyFill="1" applyBorder="1" applyAlignment="1" applyProtection="1">
      <alignment horizontal="right"/>
    </xf>
    <xf numFmtId="166" fontId="0" fillId="0" borderId="8" xfId="1" applyNumberFormat="1" applyFont="1" applyFill="1" applyBorder="1" applyAlignment="1" applyProtection="1">
      <alignment horizontal="right"/>
    </xf>
    <xf numFmtId="166" fontId="0" fillId="0" borderId="2" xfId="1" applyNumberFormat="1" applyFont="1" applyFill="1" applyBorder="1" applyAlignment="1" applyProtection="1">
      <alignment horizontal="right"/>
    </xf>
    <xf numFmtId="166" fontId="2" fillId="4" borderId="2" xfId="1" applyNumberFormat="1" applyFont="1" applyFill="1" applyBorder="1" applyAlignment="1" applyProtection="1">
      <alignment horizontal="right"/>
    </xf>
    <xf numFmtId="166" fontId="2" fillId="4" borderId="3" xfId="1" applyNumberFormat="1" applyFont="1" applyFill="1" applyBorder="1" applyAlignment="1" applyProtection="1">
      <alignment horizontal="right"/>
    </xf>
    <xf numFmtId="166" fontId="0" fillId="5" borderId="0" xfId="1" applyNumberFormat="1" applyFont="1" applyFill="1" applyBorder="1" applyAlignment="1" applyProtection="1">
      <alignment horizontal="right"/>
    </xf>
    <xf numFmtId="166" fontId="0" fillId="5" borderId="7" xfId="1" applyNumberFormat="1" applyFont="1" applyFill="1" applyBorder="1" applyAlignment="1" applyProtection="1">
      <alignment horizontal="right"/>
    </xf>
    <xf numFmtId="166" fontId="3" fillId="0" borderId="2" xfId="1" applyNumberFormat="1" applyFont="1" applyFill="1" applyBorder="1" applyAlignment="1" applyProtection="1">
      <alignment horizontal="right"/>
    </xf>
    <xf numFmtId="166" fontId="0" fillId="0" borderId="3" xfId="1" applyNumberFormat="1" applyFont="1" applyFill="1" applyBorder="1" applyAlignment="1" applyProtection="1">
      <alignment horizontal="right"/>
    </xf>
    <xf numFmtId="166" fontId="3" fillId="0" borderId="0" xfId="1" applyNumberFormat="1" applyFont="1" applyFill="1" applyBorder="1" applyAlignment="1" applyProtection="1">
      <alignment horizontal="right"/>
    </xf>
    <xf numFmtId="166" fontId="3" fillId="0" borderId="5" xfId="1" applyNumberFormat="1" applyFont="1" applyFill="1" applyBorder="1" applyAlignment="1" applyProtection="1">
      <alignment horizontal="right"/>
    </xf>
    <xf numFmtId="166" fontId="12" fillId="0" borderId="0" xfId="1" applyNumberFormat="1" applyFont="1" applyFill="1" applyBorder="1" applyAlignment="1" applyProtection="1">
      <alignment horizontal="right"/>
    </xf>
    <xf numFmtId="166" fontId="3" fillId="0" borderId="0" xfId="1" applyNumberFormat="1" applyFont="1" applyFill="1" applyAlignment="1" applyProtection="1">
      <alignment horizontal="right"/>
    </xf>
    <xf numFmtId="166" fontId="12" fillId="5" borderId="0" xfId="1" applyNumberFormat="1" applyFont="1" applyFill="1" applyBorder="1" applyAlignment="1" applyProtection="1">
      <alignment horizontal="right"/>
    </xf>
    <xf numFmtId="166" fontId="3" fillId="4" borderId="0" xfId="1" applyNumberFormat="1" applyFont="1" applyFill="1" applyBorder="1" applyAlignment="1" applyProtection="1">
      <alignment horizontal="right"/>
    </xf>
    <xf numFmtId="166" fontId="16" fillId="5" borderId="0" xfId="1" applyNumberFormat="1" applyFont="1" applyFill="1" applyBorder="1" applyAlignment="1" applyProtection="1">
      <alignment horizontal="right"/>
    </xf>
    <xf numFmtId="166" fontId="15" fillId="5" borderId="0" xfId="1" applyNumberFormat="1" applyFont="1" applyFill="1" applyBorder="1" applyAlignment="1" applyProtection="1">
      <alignment horizontal="right"/>
    </xf>
    <xf numFmtId="166" fontId="16" fillId="0" borderId="0" xfId="1" applyNumberFormat="1" applyFont="1" applyFill="1" applyBorder="1" applyAlignment="1" applyProtection="1">
      <alignment horizontal="right"/>
    </xf>
    <xf numFmtId="166" fontId="16" fillId="5" borderId="5" xfId="1" applyNumberFormat="1" applyFont="1" applyFill="1" applyBorder="1" applyAlignment="1" applyProtection="1">
      <alignment horizontal="right"/>
    </xf>
    <xf numFmtId="166" fontId="15" fillId="0" borderId="0" xfId="1" applyNumberFormat="1" applyFont="1" applyFill="1" applyBorder="1" applyAlignment="1" applyProtection="1">
      <alignment horizontal="right"/>
    </xf>
    <xf numFmtId="166" fontId="12" fillId="0" borderId="0" xfId="1" applyNumberFormat="1" applyFont="1" applyFill="1" applyAlignment="1" applyProtection="1">
      <alignment horizontal="right"/>
    </xf>
    <xf numFmtId="166" fontId="12" fillId="5" borderId="5" xfId="1" applyNumberFormat="1" applyFont="1" applyFill="1" applyBorder="1" applyAlignment="1" applyProtection="1">
      <alignment horizontal="right"/>
    </xf>
    <xf numFmtId="9" fontId="0" fillId="0" borderId="0" xfId="2" applyFont="1" applyFill="1" applyAlignment="1" applyProtection="1">
      <alignment horizontal="right" wrapText="1"/>
    </xf>
    <xf numFmtId="0" fontId="18" fillId="0" borderId="0" xfId="0" applyFont="1" applyFill="1" applyProtection="1"/>
    <xf numFmtId="1" fontId="18" fillId="0" borderId="0" xfId="0" applyNumberFormat="1" applyFont="1" applyFill="1" applyProtection="1"/>
    <xf numFmtId="164" fontId="16" fillId="0" borderId="0" xfId="1" applyNumberFormat="1" applyFont="1" applyFill="1" applyProtection="1"/>
    <xf numFmtId="164" fontId="0" fillId="0" borderId="0" xfId="1" applyNumberFormat="1" applyFont="1" applyFill="1"/>
    <xf numFmtId="0" fontId="0" fillId="0" borderId="0" xfId="0" applyFill="1"/>
    <xf numFmtId="0" fontId="0" fillId="0" borderId="4" xfId="0" applyFill="1" applyBorder="1"/>
    <xf numFmtId="3" fontId="0" fillId="0" borderId="0" xfId="0" applyNumberFormat="1" applyFill="1"/>
    <xf numFmtId="0" fontId="0" fillId="0" borderId="1" xfId="0" applyFill="1" applyBorder="1"/>
    <xf numFmtId="0" fontId="0" fillId="0" borderId="2" xfId="0" applyFill="1" applyBorder="1"/>
    <xf numFmtId="164" fontId="0" fillId="0" borderId="2" xfId="1" applyNumberFormat="1" applyFont="1" applyFill="1" applyBorder="1"/>
    <xf numFmtId="164" fontId="0" fillId="0" borderId="0" xfId="1" applyNumberFormat="1" applyFont="1" applyFill="1" applyBorder="1"/>
    <xf numFmtId="3" fontId="0" fillId="0" borderId="7" xfId="0" applyNumberFormat="1" applyBorder="1"/>
    <xf numFmtId="164" fontId="0" fillId="0" borderId="7" xfId="1" applyNumberFormat="1" applyFont="1" applyFill="1" applyBorder="1"/>
    <xf numFmtId="3" fontId="0" fillId="0" borderId="0" xfId="0" applyNumberFormat="1"/>
    <xf numFmtId="164" fontId="0" fillId="0" borderId="5" xfId="0" applyNumberFormat="1" applyBorder="1"/>
    <xf numFmtId="164" fontId="0" fillId="6" borderId="0" xfId="0" applyNumberFormat="1" applyFill="1"/>
    <xf numFmtId="164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43" fontId="0" fillId="0" borderId="5" xfId="1" applyNumberFormat="1" applyFont="1" applyBorder="1"/>
    <xf numFmtId="164" fontId="0" fillId="0" borderId="1" xfId="1" applyNumberFormat="1" applyFont="1" applyBorder="1"/>
    <xf numFmtId="164" fontId="0" fillId="0" borderId="6" xfId="1" applyNumberFormat="1" applyFont="1" applyBorder="1"/>
    <xf numFmtId="164" fontId="2" fillId="0" borderId="8" xfId="0" applyNumberFormat="1" applyFont="1" applyBorder="1"/>
    <xf numFmtId="165" fontId="0" fillId="0" borderId="0" xfId="1" applyNumberFormat="1" applyFont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8" xfId="1" applyNumberFormat="1" applyFont="1" applyBorder="1"/>
    <xf numFmtId="164" fontId="0" fillId="0" borderId="5" xfId="1" applyNumberFormat="1" applyFont="1" applyBorder="1"/>
    <xf numFmtId="164" fontId="0" fillId="0" borderId="8" xfId="0" applyNumberFormat="1" applyBorder="1"/>
    <xf numFmtId="164" fontId="0" fillId="0" borderId="2" xfId="0" applyNumberFormat="1" applyBorder="1"/>
    <xf numFmtId="0" fontId="0" fillId="0" borderId="7" xfId="0" applyBorder="1"/>
    <xf numFmtId="3" fontId="18" fillId="0" borderId="0" xfId="1" applyNumberFormat="1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right" wrapText="1"/>
    </xf>
    <xf numFmtId="0" fontId="3" fillId="3" borderId="2" xfId="0" applyFont="1" applyFill="1" applyBorder="1" applyAlignment="1" applyProtection="1">
      <alignment horizontal="right" wrapText="1"/>
    </xf>
    <xf numFmtId="3" fontId="14" fillId="0" borderId="0" xfId="1" applyNumberFormat="1" applyFont="1" applyFill="1" applyBorder="1" applyAlignment="1" applyProtection="1">
      <alignment horizontal="right"/>
    </xf>
    <xf numFmtId="166" fontId="0" fillId="0" borderId="0" xfId="1" applyNumberFormat="1" applyFont="1" applyFill="1" applyAlignment="1" applyProtection="1">
      <alignment horizontal="left"/>
    </xf>
    <xf numFmtId="166" fontId="18" fillId="0" borderId="0" xfId="1" applyNumberFormat="1" applyFont="1" applyFill="1" applyBorder="1" applyAlignment="1" applyProtection="1">
      <alignment horizontal="right"/>
    </xf>
    <xf numFmtId="166" fontId="18" fillId="5" borderId="0" xfId="1" applyNumberFormat="1" applyFont="1" applyFill="1" applyBorder="1" applyAlignment="1" applyProtection="1">
      <alignment horizontal="right"/>
    </xf>
    <xf numFmtId="166" fontId="0" fillId="0" borderId="0" xfId="1" applyNumberFormat="1" applyFont="1" applyFill="1" applyProtection="1"/>
    <xf numFmtId="166" fontId="12" fillId="0" borderId="0" xfId="1" applyNumberFormat="1" applyFont="1" applyFill="1" applyProtection="1"/>
    <xf numFmtId="3" fontId="18" fillId="5" borderId="5" xfId="1" applyNumberFormat="1" applyFont="1" applyFill="1" applyBorder="1" applyAlignment="1" applyProtection="1">
      <alignment horizontal="right"/>
    </xf>
    <xf numFmtId="3" fontId="18" fillId="5" borderId="0" xfId="1" applyNumberFormat="1" applyFont="1" applyFill="1" applyBorder="1" applyAlignment="1" applyProtection="1">
      <alignment horizontal="right"/>
    </xf>
    <xf numFmtId="3" fontId="0" fillId="0" borderId="7" xfId="0" applyNumberFormat="1" applyFill="1" applyBorder="1" applyProtection="1"/>
    <xf numFmtId="166" fontId="13" fillId="0" borderId="0" xfId="1" applyNumberFormat="1" applyFont="1" applyFill="1" applyBorder="1" applyAlignment="1" applyProtection="1">
      <alignment horizontal="right"/>
    </xf>
    <xf numFmtId="164" fontId="0" fillId="0" borderId="0" xfId="0" applyNumberFormat="1" applyFill="1" applyBorder="1" applyProtection="1"/>
    <xf numFmtId="166" fontId="0" fillId="0" borderId="7" xfId="0" applyNumberFormat="1" applyFill="1" applyBorder="1" applyProtection="1"/>
    <xf numFmtId="166" fontId="15" fillId="5" borderId="5" xfId="1" applyNumberFormat="1" applyFont="1" applyFill="1" applyBorder="1" applyAlignment="1" applyProtection="1">
      <alignment horizontal="right"/>
    </xf>
    <xf numFmtId="166" fontId="18" fillId="0" borderId="0" xfId="1" applyNumberFormat="1" applyFont="1" applyFill="1" applyAlignment="1" applyProtection="1">
      <alignment horizontal="right"/>
    </xf>
    <xf numFmtId="166" fontId="13" fillId="0" borderId="0" xfId="1" applyNumberFormat="1" applyFont="1" applyFill="1" applyAlignment="1" applyProtection="1">
      <alignment horizontal="right"/>
    </xf>
    <xf numFmtId="166" fontId="19" fillId="0" borderId="0" xfId="1" applyNumberFormat="1" applyFont="1" applyFill="1" applyAlignment="1" applyProtection="1">
      <alignment horizontal="right"/>
    </xf>
    <xf numFmtId="166" fontId="19" fillId="0" borderId="0" xfId="1" applyNumberFormat="1" applyFont="1" applyFill="1" applyBorder="1" applyAlignment="1" applyProtection="1">
      <alignment horizontal="right"/>
    </xf>
    <xf numFmtId="166" fontId="20" fillId="0" borderId="0" xfId="1" applyNumberFormat="1" applyFont="1" applyFill="1" applyBorder="1" applyAlignment="1" applyProtection="1">
      <alignment horizontal="right" wrapText="1"/>
    </xf>
    <xf numFmtId="164" fontId="18" fillId="0" borderId="0" xfId="0" applyNumberFormat="1" applyFont="1" applyFill="1" applyProtection="1"/>
    <xf numFmtId="3" fontId="18" fillId="0" borderId="0" xfId="1" applyNumberFormat="1" applyFont="1" applyFill="1" applyAlignment="1" applyProtection="1">
      <alignment horizontal="right"/>
    </xf>
    <xf numFmtId="166" fontId="18" fillId="5" borderId="5" xfId="1" applyNumberFormat="1" applyFont="1" applyFill="1" applyBorder="1" applyAlignment="1" applyProtection="1">
      <alignment horizontal="right"/>
    </xf>
    <xf numFmtId="3" fontId="14" fillId="0" borderId="0" xfId="1" applyNumberFormat="1" applyFont="1" applyFill="1" applyAlignment="1" applyProtection="1">
      <alignment horizontal="right"/>
    </xf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mmar&#246;%20kommun2016-04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 2013"/>
      <sheetName val="FjVprod 2013"/>
      <sheetName val="Slutanv 2013"/>
      <sheetName val="slutanv 1990-2008"/>
      <sheetName val="slutanv 09-14"/>
      <sheetName val="oljeleveranser"/>
      <sheetName val="tabell 2+3"/>
      <sheetName val="tabell 6"/>
    </sheetNames>
    <sheetDataSet>
      <sheetData sheetId="0"/>
      <sheetData sheetId="1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3468.5221091268299</v>
          </cell>
          <cell r="D22">
            <v>7206.7144369797588</v>
          </cell>
          <cell r="E22">
            <v>0</v>
          </cell>
          <cell r="F22">
            <v>2184.7052095498775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</sheetData>
      <sheetData sheetId="2"/>
      <sheetData sheetId="3"/>
      <sheetData sheetId="4"/>
      <sheetData sheetId="5"/>
      <sheetData sheetId="6"/>
      <sheetData sheetId="7">
        <row r="32">
          <cell r="J32">
            <v>963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7"/>
  <sheetViews>
    <sheetView zoomScale="71" zoomScaleNormal="71" workbookViewId="0">
      <selection activeCell="U44" sqref="U44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5.140625" style="1" bestFit="1" customWidth="1"/>
    <col min="4" max="4" width="18.140625" style="1" bestFit="1" customWidth="1"/>
    <col min="5" max="5" width="13.7109375" style="1" bestFit="1" customWidth="1"/>
    <col min="6" max="6" width="15.140625" style="1" bestFit="1" customWidth="1"/>
    <col min="7" max="7" width="15.140625" style="1" customWidth="1"/>
    <col min="8" max="8" width="15.42578125" style="1" bestFit="1" customWidth="1"/>
    <col min="9" max="9" width="14.4257812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16.85546875" style="1" bestFit="1" customWidth="1"/>
    <col min="16" max="16" width="10.7109375" style="1" bestFit="1" customWidth="1"/>
    <col min="17" max="17" width="9.140625" style="1"/>
    <col min="18" max="18" width="39" style="1" bestFit="1" customWidth="1"/>
    <col min="19" max="19" width="16" style="1" bestFit="1" customWidth="1"/>
    <col min="20" max="20" width="11.85546875" style="1" bestFit="1" customWidth="1"/>
    <col min="21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 t="s">
        <v>58</v>
      </c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T3" s="7" t="s">
        <v>51</v>
      </c>
      <c r="V3" s="6"/>
      <c r="W3" s="1"/>
    </row>
    <row r="4" spans="2:23" s="7" customFormat="1" x14ac:dyDescent="0.25">
      <c r="B4" s="19" t="s">
        <v>8</v>
      </c>
      <c r="C4" s="70">
        <f>Arvika!C4+Eda!C4+Filipstad!C4+Forshaga!C4+Grums!C4+Hagfors!C4+Hammarö!C4+Karlstad!C4+Kil!C4+Kristinehamn!C4+Munkfors!C4+Storfors!C4+Sunne!C4+Säffle!C4+Torsby!C4+Årjäng!C4</f>
        <v>18481.759999999998</v>
      </c>
      <c r="D4" s="222">
        <f>Arvika!D4+Eda!D4+Filipstad!D4+Forshaga!D4+Grums!D4+Hagfors!D4+Hammarö!D4+Karlstad!D4+Kil!D4+Kristinehamn!D4+Munkfors!D4+Storfors!D4+Sunne!D4+Säffle!D4+Torsby!D4+Årjäng!D4</f>
        <v>210800</v>
      </c>
      <c r="E4" s="70">
        <f>Arvika!E4+Eda!E4+Filipstad!E4+Forshaga!E4+Grums!E4+Hagfors!E4+Hammarö!E4+Karlstad!E4+Kil!E4+Kristinehamn!E4+Munkfors!E4+Storfors!E4+Sunne!E4+Säffle!E4+Torsby!E4+Årjäng!E4</f>
        <v>0</v>
      </c>
      <c r="F4" s="70">
        <f>Arvika!F4+Eda!F4+Filipstad!F4+Forshaga!F4+Grums!F4+Hagfors!F4+Hammarö!F4+Karlstad!F4+Kil!F4+Kristinehamn!F4+Munkfors!F4+Storfors!F4+Sunne!F4+Säffle!F4+Torsby!F4+Årjäng!F4</f>
        <v>0</v>
      </c>
      <c r="G4" s="70">
        <f>Arvika!G4+Eda!G4+Filipstad!G4+Forshaga!G4+Grums!G4+Hagfors!G4+Hammarö!G4+Karlstad!G4+Kil!G4+Kristinehamn!G4+Munkfors!G4+Storfors!G4+Sunne!G4+Säffle!G4+Torsby!G4+Årjäng!G4</f>
        <v>0</v>
      </c>
      <c r="H4" s="70">
        <f>Arvika!H4+Eda!H4+Filipstad!H4+Forshaga!H4+Grums!H4+Hagfors!H4+Hammarö!H4+Karlstad!H4+Kil!H4+Kristinehamn!H4+Munkfors!H4+Storfors!H4+Sunne!H4+Säffle!H4+Torsby!H4+Årjäng!H4</f>
        <v>371493.1707317073</v>
      </c>
      <c r="I4" s="70">
        <f>Arvika!I4+Eda!I4+Filipstad!I4+Forshaga!I4+Grums!I4+Hagfors!I4+Hammarö!I4+Karlstad!I4+Kil!I4+Kristinehamn!I4+Munkfors!I4+Storfors!I4+Sunne!I4+Säffle!I4+Torsby!I4+Årjäng!I4</f>
        <v>0</v>
      </c>
      <c r="J4" s="70">
        <f>Arvika!J4+Eda!J4+Filipstad!J4+Forshaga!J4+Grums!J4+Hagfors!J4+Hammarö!J4+Karlstad!J4+Kil!J4+Kristinehamn!J4+Munkfors!J4+Storfors!J4+Sunne!J4+Säffle!J4+Torsby!J4+Årjäng!J4</f>
        <v>600774.93073170737</v>
      </c>
      <c r="K4" s="70">
        <f>Arvika!K4+Eda!K4+Filipstad!K4+Forshaga!K4+Grums!K4+Hagfors!K4+Hammarö!K4+Karlstad!K4+Kil!K4+Kristinehamn!K4+Munkfors!K4+Storfors!K4+Sunne!K4+Säffle!K4+Torsby!K4+Årjäng!K4</f>
        <v>528044</v>
      </c>
      <c r="L4" s="167">
        <f>K4/(K4+K5)</f>
        <v>0.40791702851183931</v>
      </c>
      <c r="M4" s="71">
        <f>J4-K4</f>
        <v>72730.930731707369</v>
      </c>
      <c r="N4" s="1"/>
      <c r="R4" s="51" t="s">
        <v>105</v>
      </c>
      <c r="S4" s="21">
        <f>L20</f>
        <v>2916751.8683904223</v>
      </c>
      <c r="T4" s="171">
        <f>S4/1000</f>
        <v>2916.7518683904223</v>
      </c>
      <c r="U4" s="172"/>
      <c r="W4" s="1"/>
    </row>
    <row r="5" spans="2:23" s="7" customFormat="1" x14ac:dyDescent="0.25">
      <c r="B5" s="19" t="s">
        <v>9</v>
      </c>
      <c r="C5" s="222">
        <f>Arvika!C5+Eda!C5+Filipstad!C5+Forshaga!C5+Grums!C5+Hagfors!C5+Hammarö!C5+Karlstad!C5+Kil!C5+Kristinehamn!C5+Munkfors!C5+Storfors!C5+Sunne!C5+Säffle!C5+Torsby!C5+Årjäng!C5</f>
        <v>39006.522109126832</v>
      </c>
      <c r="D5" s="222">
        <f>Arvika!D5+Eda!D5+Filipstad!D5+Forshaga!D5+Grums!D5+Hagfors!D5+Hammarö!D5+Karlstad!D5+Kil!D5+Kristinehamn!D5+Munkfors!D5+Storfors!D5+Sunne!D5+Säffle!D5+Torsby!D5+Årjäng!D5</f>
        <v>196530.71443697976</v>
      </c>
      <c r="E5" s="70">
        <f>Arvika!E5+Eda!E5+Filipstad!E5+Forshaga!E5+Grums!E5+Hagfors!E5+Hammarö!E5+Karlstad!E5+Kil!E5+Kristinehamn!E5+Munkfors!E5+Storfors!E5+Sunne!E5+Säffle!E5+Torsby!E5+Årjäng!E5</f>
        <v>0</v>
      </c>
      <c r="F5" s="222">
        <f>Arvika!F5+Eda!F5+Filipstad!F5+Forshaga!F5+Grums!F5+Hagfors!F5+Hammarö!F5+Karlstad!F5+Kil!F5+Kristinehamn!F5+Munkfors!F5+Storfors!F5+Sunne!F5+Säffle!F5+Torsby!F5+Årjäng!F5</f>
        <v>40935.70520954988</v>
      </c>
      <c r="G5" s="70">
        <f>Arvika!G5+Eda!G5+Filipstad!G5+Forshaga!G5+Grums!G5+Hagfors!G5+Hammarö!G5+Karlstad!G5+Kil!G5+Kristinehamn!G5+Munkfors!G5+Storfors!G5+Sunne!G5+Säffle!G5+Torsby!G5+Årjäng!G5</f>
        <v>0</v>
      </c>
      <c r="H5" s="222">
        <f>Arvika!H5+Eda!H5+Filipstad!H5+Forshaga!H5+Grums!H5+Hagfors!H5+Hammarö!H5+Karlstad!H5+Kil!H5+Kristinehamn!H5+Munkfors!H5+Storfors!H5+Sunne!H5+Säffle!H5+Torsby!H5+Årjäng!H5</f>
        <v>619408.20122754225</v>
      </c>
      <c r="I5" s="222">
        <f>Arvika!I5+Eda!I5+Filipstad!I5+Forshaga!I5+Grums!I5+Hagfors!I5+Hammarö!I5+Karlstad!I5+Kil!I5+Kristinehamn!I5+Munkfors!I5+Storfors!I5+Sunne!I5+Säffle!I5+Torsby!I5+Årjäng!I5</f>
        <v>1448</v>
      </c>
      <c r="J5" s="222">
        <f>Arvika!J5+Eda!J5+Filipstad!J5+Forshaga!J5+Grums!J5+Hagfors!J5+Hammarö!J5+Karlstad!J5+Kil!J5+Kristinehamn!J5+Munkfors!J5+Storfors!J5+Sunne!J5+Säffle!J5+Torsby!J5+Årjäng!J5</f>
        <v>903898.14298319863</v>
      </c>
      <c r="K5" s="222">
        <f>Arvika!K5+Eda!K5+Filipstad!K5+Forshaga!K5+Grums!K5+Hagfors!K5+Hammarö!K5+Karlstad!K5+Kil!K5+Kristinehamn!K5+Munkfors!K5+Storfors!K5+Sunne!K5+Säffle!K5+Torsby!K5+Årjäng!K5</f>
        <v>766444.73935566575</v>
      </c>
      <c r="L5" s="167">
        <f>K5/(K4+K5)</f>
        <v>0.5920829714881608</v>
      </c>
      <c r="M5" s="71">
        <f>J5-K5</f>
        <v>137453.40362753288</v>
      </c>
      <c r="N5" s="1"/>
      <c r="R5" s="7" t="s">
        <v>106</v>
      </c>
      <c r="S5" s="21">
        <f>IF(K28&gt;0,0,K28)*-1</f>
        <v>2706468.0013612569</v>
      </c>
      <c r="T5" s="171">
        <f>S5/1000</f>
        <v>2706.4680013612569</v>
      </c>
      <c r="W5" s="1"/>
    </row>
    <row r="6" spans="2:23" s="7" customFormat="1" x14ac:dyDescent="0.25">
      <c r="B6" s="19" t="s">
        <v>10</v>
      </c>
      <c r="C6" s="70">
        <f>Arvika!C6+Eda!C6+Filipstad!C6+Forshaga!C6+Grums!C6+Hagfors!C6+Hammarö!C6+Karlstad!C6+Kil!C6+Kristinehamn!C6+Munkfors!C6+Storfors!C6+Sunne!C6+Säffle!C6+Torsby!C6+Årjäng!C6</f>
        <v>0</v>
      </c>
      <c r="D6" s="70">
        <f>Arvika!D6+Eda!D6+Filipstad!D6+Forshaga!D6+Grums!D6+Hagfors!D6+Hammarö!D6+Karlstad!D6+Kil!D6+Kristinehamn!D6+Munkfors!D6+Storfors!D6+Sunne!D6+Säffle!D6+Torsby!D6+Årjäng!D6</f>
        <v>0</v>
      </c>
      <c r="E6" s="70">
        <f>Arvika!E6+Eda!E6+Filipstad!E6+Forshaga!E6+Grums!E6+Hagfors!E6+Hammarö!E6+Karlstad!E6+Kil!E6+Kristinehamn!E6+Munkfors!E6+Storfors!E6+Sunne!E6+Säffle!E6+Torsby!E6+Årjäng!E6</f>
        <v>0</v>
      </c>
      <c r="F6" s="70">
        <f>Arvika!F6+Eda!F6+Filipstad!F6+Forshaga!F6+Grums!F6+Hagfors!F6+Hammarö!F6+Karlstad!F6+Kil!F6+Kristinehamn!F6+Munkfors!F6+Storfors!F6+Sunne!F6+Säffle!F6+Torsby!F6+Årjäng!F6</f>
        <v>0</v>
      </c>
      <c r="G6" s="70">
        <f>Arvika!G6+Eda!G6+Filipstad!G6+Forshaga!G6+Grums!G6+Hagfors!G6+Hammarö!G6+Karlstad!G6+Kil!G6+Kristinehamn!G6+Munkfors!G6+Storfors!G6+Sunne!G6+Säffle!G6+Torsby!G6+Årjäng!G6</f>
        <v>0</v>
      </c>
      <c r="H6" s="70">
        <f>Arvika!H6+Eda!H6+Filipstad!H6+Forshaga!H6+Grums!H6+Hagfors!H6+Hammarö!H6+Karlstad!H6+Kil!H6+Kristinehamn!H6+Munkfors!H6+Storfors!H6+Sunne!H6+Säffle!H6+Torsby!H6+Årjäng!H6</f>
        <v>0</v>
      </c>
      <c r="I6" s="70">
        <f>Arvika!I6+Eda!I6+Filipstad!I6+Forshaga!I6+Grums!I6+Hagfors!I6+Hammarö!I6+Karlstad!I6+Kil!I6+Kristinehamn!I6+Munkfors!I6+Storfors!I6+Sunne!I6+Säffle!I6+Torsby!I6+Årjäng!I6</f>
        <v>0</v>
      </c>
      <c r="J6" s="70">
        <f>Arvika!J6+Eda!J6+Filipstad!J6+Forshaga!J6+Grums!J6+Hagfors!J6+Hammarö!J6+Karlstad!J6+Kil!J6+Kristinehamn!J6+Munkfors!J6+Storfors!J6+Sunne!J6+Säffle!J6+Torsby!J6+Årjäng!J6</f>
        <v>0</v>
      </c>
      <c r="K6" s="70">
        <f>Arvika!K6+Eda!K6+Filipstad!K6+Forshaga!K6+Grums!K6+Hagfors!K6+Hammarö!K6+Karlstad!K6+Kil!K6+Kristinehamn!K6+Munkfors!K6+Storfors!K6+Sunne!K6+Säffle!K6+Torsby!K6+Årjäng!K6</f>
        <v>780</v>
      </c>
      <c r="L6" s="72"/>
      <c r="M6" s="71"/>
      <c r="N6" s="1"/>
      <c r="R6" s="51" t="s">
        <v>104</v>
      </c>
      <c r="S6" s="171">
        <f>H10+H20+H40</f>
        <v>3772011.397227542</v>
      </c>
      <c r="T6" s="171">
        <f>S6/1000</f>
        <v>3772.0113972275421</v>
      </c>
      <c r="U6" s="172"/>
      <c r="W6" s="1"/>
    </row>
    <row r="7" spans="2:23" s="7" customFormat="1" x14ac:dyDescent="0.25">
      <c r="B7" s="19" t="s">
        <v>11</v>
      </c>
      <c r="C7" s="70">
        <f>Arvika!C7+Eda!C7+Filipstad!C7+Forshaga!C7+Grums!C7+Hagfors!C7+Hammarö!C7+Karlstad!C7+Kil!C7+Kristinehamn!C7+Munkfors!C7+Storfors!C7+Sunne!C7+Säffle!C7+Torsby!C7+Årjäng!C7</f>
        <v>0</v>
      </c>
      <c r="D7" s="70">
        <f>Arvika!D7+Eda!D7+Filipstad!D7+Forshaga!D7+Grums!D7+Hagfors!D7+Hammarö!D7+Karlstad!D7+Kil!D7+Kristinehamn!D7+Munkfors!D7+Storfors!D7+Sunne!D7+Säffle!D7+Torsby!D7+Årjäng!D7</f>
        <v>0</v>
      </c>
      <c r="E7" s="70">
        <f>Arvika!E7+Eda!E7+Filipstad!E7+Forshaga!E7+Grums!E7+Hagfors!E7+Hammarö!E7+Karlstad!E7+Kil!E7+Kristinehamn!E7+Munkfors!E7+Storfors!E7+Sunne!E7+Säffle!E7+Torsby!E7+Årjäng!E7</f>
        <v>0</v>
      </c>
      <c r="F7" s="70">
        <f>Arvika!F7+Eda!F7+Filipstad!F7+Forshaga!F7+Grums!F7+Hagfors!F7+Hammarö!F7+Karlstad!F7+Kil!F7+Kristinehamn!F7+Munkfors!F7+Storfors!F7+Sunne!F7+Säffle!F7+Torsby!F7+Årjäng!F7</f>
        <v>0</v>
      </c>
      <c r="G7" s="70">
        <f>Arvika!G7+Eda!G7+Filipstad!G7+Forshaga!G7+Grums!G7+Hagfors!G7+Hammarö!G7+Karlstad!G7+Kil!G7+Kristinehamn!G7+Munkfors!G7+Storfors!G7+Sunne!G7+Säffle!G7+Torsby!G7+Årjäng!G7</f>
        <v>0</v>
      </c>
      <c r="H7" s="70">
        <f>Arvika!H7+Eda!H7+Filipstad!H7+Forshaga!H7+Grums!H7+Hagfors!H7+Hammarö!H7+Karlstad!H7+Kil!H7+Kristinehamn!H7+Munkfors!H7+Storfors!H7+Sunne!H7+Säffle!H7+Torsby!H7+Årjäng!H7</f>
        <v>0</v>
      </c>
      <c r="I7" s="70">
        <f>Arvika!I7+Eda!I7+Filipstad!I7+Forshaga!I7+Grums!I7+Hagfors!I7+Hammarö!I7+Karlstad!I7+Kil!I7+Kristinehamn!I7+Munkfors!I7+Storfors!I7+Sunne!I7+Säffle!I7+Torsby!I7+Årjäng!I7</f>
        <v>0</v>
      </c>
      <c r="J7" s="70">
        <f>Arvika!J7+Eda!J7+Filipstad!J7+Forshaga!J7+Grums!J7+Hagfors!J7+Hammarö!J7+Karlstad!J7+Kil!J7+Kristinehamn!J7+Munkfors!J7+Storfors!J7+Sunne!J7+Säffle!J7+Torsby!J7+Årjäng!J7</f>
        <v>0</v>
      </c>
      <c r="K7" s="70">
        <f>Arvika!K7+Eda!K7+Filipstad!K7+Forshaga!K7+Grums!K7+Hagfors!K7+Hammarö!K7+Karlstad!K7+Kil!K7+Kristinehamn!K7+Munkfors!K7+Storfors!K7+Sunne!K7+Säffle!K7+Torsby!K7+Årjäng!K7</f>
        <v>0</v>
      </c>
      <c r="L7" s="72"/>
      <c r="M7" s="71"/>
      <c r="N7" s="1"/>
      <c r="R7" s="51" t="s">
        <v>56</v>
      </c>
      <c r="S7" s="171">
        <f>D10+D20+D40</f>
        <v>449490.71443697973</v>
      </c>
      <c r="T7" s="171">
        <f>S7/1000</f>
        <v>449.49071443697972</v>
      </c>
      <c r="U7" s="172"/>
      <c r="V7" s="6"/>
      <c r="W7" s="1"/>
    </row>
    <row r="8" spans="2:23" s="7" customFormat="1" x14ac:dyDescent="0.25">
      <c r="B8" s="19" t="s">
        <v>12</v>
      </c>
      <c r="C8" s="70">
        <f>Arvika!C8+Eda!C8+Filipstad!C8+Forshaga!C8+Grums!C8+Hagfors!C8+Hammarö!C8+Karlstad!C8+Kil!C8+Kristinehamn!C8+Munkfors!C8+Storfors!C8+Sunne!C8+Säffle!C8+Torsby!C8+Årjäng!C8</f>
        <v>0</v>
      </c>
      <c r="D8" s="70">
        <f>Arvika!D8+Eda!D8+Filipstad!D8+Forshaga!D8+Grums!D8+Hagfors!D8+Hammarö!D8+Karlstad!D8+Kil!D8+Kristinehamn!D8+Munkfors!D8+Storfors!D8+Sunne!D8+Säffle!D8+Torsby!D8+Årjäng!D8</f>
        <v>0</v>
      </c>
      <c r="E8" s="70">
        <f>Arvika!E8+Eda!E8+Filipstad!E8+Forshaga!E8+Grums!E8+Hagfors!E8+Hammarö!E8+Karlstad!E8+Kil!E8+Kristinehamn!E8+Munkfors!E8+Storfors!E8+Sunne!E8+Säffle!E8+Torsby!E8+Årjäng!E8</f>
        <v>0</v>
      </c>
      <c r="F8" s="70">
        <f>Arvika!F8+Eda!F8+Filipstad!F8+Forshaga!F8+Grums!F8+Hagfors!F8+Hammarö!F8+Karlstad!F8+Kil!F8+Kristinehamn!F8+Munkfors!F8+Storfors!F8+Sunne!F8+Säffle!F8+Torsby!F8+Årjäng!F8</f>
        <v>0</v>
      </c>
      <c r="G8" s="70">
        <f>Arvika!G8+Eda!G8+Filipstad!G8+Forshaga!G8+Grums!G8+Hagfors!G8+Hammarö!G8+Karlstad!G8+Kil!G8+Kristinehamn!G8+Munkfors!G8+Storfors!G8+Sunne!G8+Säffle!G8+Torsby!G8+Årjäng!G8</f>
        <v>0</v>
      </c>
      <c r="H8" s="70">
        <f>Arvika!H8+Eda!H8+Filipstad!H8+Forshaga!H8+Grums!H8+Hagfors!H8+Hammarö!H8+Karlstad!H8+Kil!H8+Kristinehamn!H8+Munkfors!H8+Storfors!H8+Sunne!H8+Säffle!H8+Torsby!H8+Årjäng!H8</f>
        <v>0</v>
      </c>
      <c r="I8" s="70">
        <f>Arvika!I8+Eda!I8+Filipstad!I8+Forshaga!I8+Grums!I8+Hagfors!I8+Hammarö!I8+Karlstad!I8+Kil!I8+Kristinehamn!I8+Munkfors!I8+Storfors!I8+Sunne!I8+Säffle!I8+Torsby!I8+Årjäng!I8</f>
        <v>0</v>
      </c>
      <c r="J8" s="70">
        <f>Arvika!J8+Eda!J8+Filipstad!J8+Forshaga!J8+Grums!J8+Hagfors!J8+Hammarö!J8+Karlstad!J8+Kil!J8+Kristinehamn!J8+Munkfors!J8+Storfors!J8+Sunne!J8+Säffle!J8+Torsby!J8+Årjäng!J8</f>
        <v>0</v>
      </c>
      <c r="K8" s="222">
        <f>Arvika!K8+Eda!K8+Filipstad!K8+Forshaga!K8+Grums!K8+Hagfors!K8+Hammarö!K8+Karlstad!K8+Kil!K8+Kristinehamn!K8+Munkfors!K8+Storfors!K8+Sunne!K8+Säffle!K8+Torsby!K8+Årjäng!K8</f>
        <v>141640.65422742162</v>
      </c>
      <c r="L8" s="72"/>
      <c r="M8" s="71"/>
      <c r="N8" s="1"/>
      <c r="R8" s="51" t="s">
        <v>58</v>
      </c>
      <c r="S8" s="171">
        <f>G10+G20+G40</f>
        <v>5414804</v>
      </c>
      <c r="T8" s="171">
        <f t="shared" ref="T8:T12" si="0">S8/1000</f>
        <v>5414.8040000000001</v>
      </c>
      <c r="U8" s="172"/>
      <c r="V8" s="6"/>
      <c r="W8" s="1"/>
    </row>
    <row r="9" spans="2:23" s="7" customFormat="1" x14ac:dyDescent="0.25">
      <c r="B9" s="19" t="s">
        <v>13</v>
      </c>
      <c r="C9" s="70">
        <f>Arvika!C9+Eda!C9+Filipstad!C9+Forshaga!C9+Grums!C9+Hagfors!C9+Hammarö!C9+Karlstad!C9+Kil!C9+Kristinehamn!C9+Munkfors!C9+Storfors!C9+Sunne!C9+Säffle!C9+Torsby!C9+Årjäng!C9</f>
        <v>0</v>
      </c>
      <c r="D9" s="70">
        <f>Arvika!D9+Eda!D9+Filipstad!D9+Forshaga!D9+Grums!D9+Hagfors!D9+Hammarö!D9+Karlstad!D9+Kil!D9+Kristinehamn!D9+Munkfors!D9+Storfors!D9+Sunne!D9+Säffle!D9+Torsby!D9+Årjäng!D9</f>
        <v>0</v>
      </c>
      <c r="E9" s="70">
        <f>Arvika!E9+Eda!E9+Filipstad!E9+Forshaga!E9+Grums!E9+Hagfors!E9+Hammarö!E9+Karlstad!E9+Kil!E9+Kristinehamn!E9+Munkfors!E9+Storfors!E9+Sunne!E9+Säffle!E9+Torsby!E9+Årjäng!E9</f>
        <v>0</v>
      </c>
      <c r="F9" s="70">
        <f>Arvika!F9+Eda!F9+Filipstad!F9+Forshaga!F9+Grums!F9+Hagfors!F9+Hammarö!F9+Karlstad!F9+Kil!F9+Kristinehamn!F9+Munkfors!F9+Storfors!F9+Sunne!F9+Säffle!F9+Torsby!F9+Årjäng!F9</f>
        <v>0</v>
      </c>
      <c r="G9" s="70">
        <f>Arvika!G9+Eda!G9+Filipstad!G9+Forshaga!G9+Grums!G9+Hagfors!G9+Hammarö!G9+Karlstad!G9+Kil!G9+Kristinehamn!G9+Munkfors!G9+Storfors!G9+Sunne!G9+Säffle!G9+Torsby!G9+Årjäng!G9</f>
        <v>0</v>
      </c>
      <c r="H9" s="70">
        <f>Arvika!H9+Eda!H9+Filipstad!H9+Forshaga!H9+Grums!H9+Hagfors!H9+Hammarö!H9+Karlstad!H9+Kil!H9+Kristinehamn!H9+Munkfors!H9+Storfors!H9+Sunne!H9+Säffle!H9+Torsby!H9+Årjäng!H9</f>
        <v>0</v>
      </c>
      <c r="I9" s="70">
        <f>Arvika!I9+Eda!I9+Filipstad!I9+Forshaga!I9+Grums!I9+Hagfors!I9+Hammarö!I9+Karlstad!I9+Kil!I9+Kristinehamn!I9+Munkfors!I9+Storfors!I9+Sunne!I9+Säffle!I9+Torsby!I9+Årjäng!I9</f>
        <v>0</v>
      </c>
      <c r="J9" s="70">
        <f>Arvika!J9+Eda!J9+Filipstad!J9+Forshaga!J9+Grums!J9+Hagfors!J9+Hammarö!J9+Karlstad!J9+Kil!J9+Kristinehamn!J9+Munkfors!J9+Storfors!J9+Sunne!J9+Säffle!J9+Torsby!J9+Årjäng!J9</f>
        <v>0</v>
      </c>
      <c r="K9" s="222">
        <f>Arvika!K9+Eda!K9+Filipstad!K9+Forshaga!K9+Grums!K9+Hagfors!K9+Hammarö!K9+Karlstad!K9+Kil!K9+Kristinehamn!K9+Munkfors!K9+Storfors!K9+Sunne!K9+Säffle!K9+Torsby!K9+Årjäng!K9</f>
        <v>219375.60641691266</v>
      </c>
      <c r="L9" s="72"/>
      <c r="M9" s="71"/>
      <c r="N9" s="1"/>
      <c r="R9" s="51" t="s">
        <v>59</v>
      </c>
      <c r="S9" s="171">
        <f>E10+E20+E40</f>
        <v>311554.26233333332</v>
      </c>
      <c r="T9" s="171">
        <f t="shared" si="0"/>
        <v>311.55426233333333</v>
      </c>
      <c r="U9" s="172"/>
      <c r="V9" s="6"/>
      <c r="W9" s="1"/>
    </row>
    <row r="10" spans="2:23" s="7" customFormat="1" x14ac:dyDescent="0.25">
      <c r="B10" s="19" t="s">
        <v>14</v>
      </c>
      <c r="C10" s="73">
        <f t="shared" ref="C10:K10" si="1">SUM(C4:C9)</f>
        <v>57488.282109126827</v>
      </c>
      <c r="D10" s="200">
        <f t="shared" si="1"/>
        <v>407330.71443697973</v>
      </c>
      <c r="E10" s="73">
        <f t="shared" si="1"/>
        <v>0</v>
      </c>
      <c r="F10" s="200">
        <f t="shared" si="1"/>
        <v>40935.70520954988</v>
      </c>
      <c r="G10" s="73">
        <f t="shared" ref="G10" si="2">SUM(G4:G9)</f>
        <v>0</v>
      </c>
      <c r="H10" s="73">
        <f t="shared" si="1"/>
        <v>990901.37195924949</v>
      </c>
      <c r="I10" s="200">
        <f t="shared" si="1"/>
        <v>1448</v>
      </c>
      <c r="J10" s="73">
        <f t="shared" si="1"/>
        <v>1504673.0737149059</v>
      </c>
      <c r="K10" s="73">
        <f t="shared" si="1"/>
        <v>1656285</v>
      </c>
      <c r="L10" s="72"/>
      <c r="M10" s="71">
        <f>SUM(M4:M9)</f>
        <v>210184.33435924025</v>
      </c>
      <c r="N10" s="1"/>
      <c r="Q10" s="6"/>
      <c r="R10" s="51" t="s">
        <v>25</v>
      </c>
      <c r="S10" s="171">
        <f>I10+I20+I40</f>
        <v>53562.8</v>
      </c>
      <c r="T10" s="171">
        <f t="shared" si="0"/>
        <v>53.562800000000003</v>
      </c>
      <c r="U10" s="172"/>
      <c r="V10" s="6"/>
      <c r="W10" s="1"/>
    </row>
    <row r="11" spans="2:23" s="7" customFormat="1" x14ac:dyDescent="0.25">
      <c r="B11" s="22"/>
      <c r="C11" s="74"/>
      <c r="D11" s="74"/>
      <c r="E11" s="74"/>
      <c r="F11" s="74"/>
      <c r="G11" s="74"/>
      <c r="H11" s="74"/>
      <c r="I11" s="74"/>
      <c r="J11" s="75"/>
      <c r="K11" s="75"/>
      <c r="L11" s="76"/>
      <c r="M11" s="77"/>
      <c r="N11" s="1"/>
      <c r="Q11" s="6"/>
      <c r="R11" s="51" t="s">
        <v>60</v>
      </c>
      <c r="S11" s="171">
        <f>F10+F20+F40</f>
        <v>559639.20520954987</v>
      </c>
      <c r="T11" s="171">
        <f t="shared" si="0"/>
        <v>559.63920520954991</v>
      </c>
      <c r="U11" s="172"/>
      <c r="V11" s="6"/>
      <c r="W11" s="1"/>
    </row>
    <row r="12" spans="2:23" s="7" customFormat="1" x14ac:dyDescent="0.25">
      <c r="B12" s="23" t="s">
        <v>15</v>
      </c>
      <c r="C12" s="74"/>
      <c r="D12" s="74"/>
      <c r="E12" s="74"/>
      <c r="F12" s="74"/>
      <c r="G12" s="74"/>
      <c r="H12" s="74"/>
      <c r="I12" s="74"/>
      <c r="J12" s="72"/>
      <c r="K12" s="72"/>
      <c r="L12" s="76"/>
      <c r="M12" s="77"/>
      <c r="N12" s="1"/>
      <c r="O12"/>
      <c r="P12"/>
      <c r="Q12" s="6"/>
      <c r="R12" s="51" t="s">
        <v>61</v>
      </c>
      <c r="S12" s="171">
        <f>C10+C20+C40</f>
        <v>3754111.3321091267</v>
      </c>
      <c r="T12" s="171">
        <f t="shared" si="0"/>
        <v>3754.1113321091266</v>
      </c>
      <c r="U12" s="172"/>
      <c r="V12" s="6"/>
      <c r="W12" s="1"/>
    </row>
    <row r="13" spans="2:23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6"/>
      <c r="O13"/>
      <c r="P13"/>
      <c r="R13" s="173" t="s">
        <v>108</v>
      </c>
      <c r="S13" s="171">
        <f>SUM(S4:S12)</f>
        <v>19938393.58106821</v>
      </c>
      <c r="T13" s="171">
        <f>SUM(T4:T12)</f>
        <v>19938.393581068212</v>
      </c>
      <c r="U13" s="172"/>
    </row>
    <row r="14" spans="2:23" ht="18.75" x14ac:dyDescent="0.3">
      <c r="B14" s="26" t="s">
        <v>16</v>
      </c>
      <c r="C14" s="80"/>
      <c r="D14" s="80"/>
      <c r="E14" s="80"/>
      <c r="F14" s="80"/>
      <c r="G14" s="80"/>
      <c r="H14" s="80"/>
      <c r="I14" s="80"/>
      <c r="J14" s="80"/>
      <c r="K14" s="101" t="s">
        <v>17</v>
      </c>
      <c r="L14" s="82" t="s">
        <v>18</v>
      </c>
      <c r="M14" s="83"/>
      <c r="N14" s="27" t="s">
        <v>19</v>
      </c>
      <c r="O14"/>
      <c r="P14"/>
      <c r="R14" t="s">
        <v>109</v>
      </c>
      <c r="S14" s="59">
        <f>K8</f>
        <v>141640.65422742162</v>
      </c>
      <c r="T14" s="59">
        <f>S14/1000</f>
        <v>141.64065422742161</v>
      </c>
      <c r="U14" s="172"/>
      <c r="V14"/>
    </row>
    <row r="15" spans="2:23" x14ac:dyDescent="0.25">
      <c r="B15" s="19" t="s">
        <v>20</v>
      </c>
      <c r="C15" s="73">
        <f>Arvika!C15+Eda!C15+Filipstad!C15+Forshaga!C15+Grums!C15+Hagfors!C15+Hammarö!C15+Karlstad!C15+Kil!C15+Kristinehamn!C15+Munkfors!C15+Storfors!C15+Sunne!C15+Säffle!C15+Torsby!C15+Årjäng!C15</f>
        <v>3709</v>
      </c>
      <c r="D15" s="73">
        <f>Arvika!D15+Eda!D15+Filipstad!D15+Forshaga!D15+Grums!D15+Hagfors!D15+Hammarö!D15+Karlstad!D15+Kil!D15+Kristinehamn!D15+Munkfors!D15+Storfors!D15+Sunne!D15+Säffle!D15+Torsby!D15+Årjäng!D15</f>
        <v>42160</v>
      </c>
      <c r="E15" s="73">
        <f>Arvika!E15+Eda!E15+Filipstad!E15+Forshaga!E15+Grums!E15+Hagfors!E15+Hammarö!E15+Karlstad!E15+Kil!E15+Kristinehamn!E15+Munkfors!E15+Storfors!E15+Sunne!E15+Säffle!E15+Torsby!E15+Årjäng!E15</f>
        <v>0</v>
      </c>
      <c r="F15" s="73">
        <f>Arvika!F15+Eda!F15+Filipstad!F15+Forshaga!F15+Grums!F15+Hagfors!F15+Hammarö!F15+Karlstad!F15+Kil!F15+Kristinehamn!F15+Munkfors!F15+Storfors!F15+Sunne!F15+Säffle!F15+Torsby!F15+Årjäng!F15</f>
        <v>0</v>
      </c>
      <c r="G15" s="73">
        <f>Arvika!G15+Eda!G15+Filipstad!G15+Forshaga!G15+Grums!G15+Hagfors!G15+Hammarö!G15+Karlstad!G15+Kil!G15+Kristinehamn!G15+Munkfors!G15+Storfors!G15+Sunne!G15+Säffle!G15+Torsby!G15+Årjäng!G15</f>
        <v>0</v>
      </c>
      <c r="H15" s="200">
        <f>Arvika!H15+Eda!H15+Filipstad!H15+Forshaga!H15+Grums!H15+Hagfors!H15+Hammarö!H15+Karlstad!H15+Kil!H15+Kristinehamn!H15+Munkfors!H15+Storfors!H15+Sunne!H15+Säffle!H15+Torsby!H15+Årjäng!H15</f>
        <v>70496</v>
      </c>
      <c r="I15" s="73">
        <f>Arvika!I15+Eda!I15+Filipstad!I15+Forshaga!I15+Grums!I15+Hagfors!I15+Hammarö!I15+Karlstad!I15+Kil!I15+Kristinehamn!I15+Munkfors!I15+Storfors!I15+Sunne!I15+Säffle!I15+Torsby!I15+Årjäng!I15</f>
        <v>0</v>
      </c>
      <c r="J15" s="200">
        <f>Arvika!J15+Eda!J15+Filipstad!J15+Forshaga!J15+Grums!J15+Hagfors!J15+Hammarö!J15+Karlstad!J15+Kil!J15+Kristinehamn!J15+Munkfors!J15+Storfors!J15+Sunne!J15+Säffle!J15+Torsby!J15+Årjäng!J15</f>
        <v>116365</v>
      </c>
      <c r="K15" s="200">
        <f>Arvika!K15+Eda!K15+Filipstad!K15+Forshaga!K15+Grums!K15+Hagfors!K15+Hammarö!K15+Karlstad!K15+Kil!K15+Kristinehamn!K15+Munkfors!K15+Storfors!K15+Sunne!K15+Säffle!K15+Torsby!K15+Årjäng!K15</f>
        <v>91212</v>
      </c>
      <c r="L15" s="84">
        <f>K15/(1-N15)</f>
        <v>94032.989690721646</v>
      </c>
      <c r="M15" s="85">
        <f>J15-K15</f>
        <v>25153</v>
      </c>
      <c r="N15" s="29">
        <v>0.03</v>
      </c>
      <c r="O15" s="67">
        <f>L15-K15</f>
        <v>2820.9896907216462</v>
      </c>
      <c r="P15"/>
      <c r="R15" t="s">
        <v>110</v>
      </c>
      <c r="S15" s="59">
        <f>K9</f>
        <v>219375.60641691266</v>
      </c>
      <c r="T15" s="59">
        <f t="shared" ref="T15:T16" si="3">S15/1000</f>
        <v>219.37560641691266</v>
      </c>
      <c r="U15" s="172"/>
      <c r="V15"/>
    </row>
    <row r="16" spans="2:23" x14ac:dyDescent="0.25">
      <c r="B16" s="19" t="s">
        <v>21</v>
      </c>
      <c r="C16" s="73">
        <f>Arvika!C16+Eda!C16+Filipstad!C16+Forshaga!C16+Grums!C16+Hagfors!C16+Hammarö!C16+Karlstad!C16+Kil!C16+Kristinehamn!C16+Munkfors!C16+Storfors!C16+Sunne!C16+Säffle!C16+Torsby!C16+Årjäng!C16</f>
        <v>25064</v>
      </c>
      <c r="D16" s="73">
        <f>Arvika!D16+Eda!D16+Filipstad!D16+Forshaga!D16+Grums!D16+Hagfors!D16+Hammarö!D16+Karlstad!D16+Kil!D16+Kristinehamn!D16+Munkfors!D16+Storfors!D16+Sunne!D16+Säffle!D16+Torsby!D16+Årjäng!D16</f>
        <v>0</v>
      </c>
      <c r="E16" s="73">
        <f>Arvika!E16+Eda!E16+Filipstad!E16+Forshaga!E16+Grums!E16+Hagfors!E16+Hammarö!E16+Karlstad!E16+Kil!E16+Kristinehamn!E16+Munkfors!E16+Storfors!E16+Sunne!E16+Säffle!E16+Torsby!E16+Årjäng!E16</f>
        <v>0</v>
      </c>
      <c r="F16" s="73">
        <f>Arvika!F16+Eda!F16+Filipstad!F16+Forshaga!F16+Grums!F16+Hagfors!F16+Hammarö!F16+Karlstad!F16+Kil!F16+Kristinehamn!F16+Munkfors!F16+Storfors!F16+Sunne!F16+Säffle!F16+Torsby!F16+Årjäng!F16</f>
        <v>9165.8706709893377</v>
      </c>
      <c r="G16" s="73">
        <f>Arvika!G16+Eda!G16+Filipstad!G16+Forshaga!G16+Grums!G16+Hagfors!G16+Hammarö!G16+Karlstad!G16+Kil!G16+Kristinehamn!G16+Munkfors!G16+Storfors!G16+Sunne!G16+Säffle!G16+Torsby!G16+Årjäng!G16</f>
        <v>351953.12932901067</v>
      </c>
      <c r="H16" s="200">
        <f>Arvika!H16+Eda!H16+Filipstad!H16+Forshaga!H16+Grums!H16+Hagfors!H16+Hammarö!H16+Karlstad!H16+Kil!H16+Kristinehamn!H16+Munkfors!H16+Storfors!H16+Sunne!H16+Säffle!H16+Torsby!H16+Årjäng!H16</f>
        <v>556969.82926829264</v>
      </c>
      <c r="I16" s="73">
        <f>Arvika!I16+Eda!I16+Filipstad!I16+Forshaga!I16+Grums!I16+Hagfors!I16+Hammarö!I16+Karlstad!I16+Kil!I16+Kristinehamn!I16+Munkfors!I16+Storfors!I16+Sunne!I16+Säffle!I16+Torsby!I16+Årjäng!I16</f>
        <v>0</v>
      </c>
      <c r="J16" s="200">
        <f>Arvika!J16+Eda!J16+Filipstad!J16+Forshaga!J16+Grums!J16+Hagfors!J16+Hammarö!J16+Karlstad!J16+Kil!J16+Kristinehamn!J16+Munkfors!J16+Storfors!J16+Sunne!J16+Säffle!J16+Torsby!J16+Årjäng!J16</f>
        <v>943152.82926829264</v>
      </c>
      <c r="K16" s="200">
        <f>Arvika!K16+Eda!K16+Filipstad!K16+Forshaga!K16+Grums!K16+Hagfors!K16+Hammarö!K16+Karlstad!K16+Kil!K16+Kristinehamn!K16+Munkfors!K16+Storfors!K16+Sunne!K16+Säffle!K16+Torsby!K16+Årjäng!K16</f>
        <v>783202.5</v>
      </c>
      <c r="L16" s="84">
        <f>K16/(1-N16)</f>
        <v>807425.25773195876</v>
      </c>
      <c r="M16" s="85">
        <f>J16-K16</f>
        <v>159950.32926829264</v>
      </c>
      <c r="N16" s="29">
        <v>0.03</v>
      </c>
      <c r="O16" s="67">
        <f>L16-K16</f>
        <v>24222.757731958758</v>
      </c>
      <c r="P16"/>
      <c r="R16" t="s">
        <v>111</v>
      </c>
      <c r="S16" s="59">
        <f>K6+K7</f>
        <v>780</v>
      </c>
      <c r="T16" s="59">
        <f t="shared" si="3"/>
        <v>0.78</v>
      </c>
      <c r="U16" s="172"/>
      <c r="V16" s="6"/>
    </row>
    <row r="17" spans="2:23" x14ac:dyDescent="0.25">
      <c r="B17" s="19" t="s">
        <v>22</v>
      </c>
      <c r="C17" s="73">
        <f>Arvika!C17+Eda!C17+Filipstad!C17+Forshaga!C17+Grums!C17+Hagfors!C17+Hammarö!C17+Karlstad!C17+Kil!C17+Kristinehamn!C17+Munkfors!C17+Storfors!C17+Sunne!C17+Säffle!C17+Torsby!C17+Årjäng!C17</f>
        <v>0</v>
      </c>
      <c r="D17" s="73">
        <f>Arvika!D17+Eda!D17+Filipstad!D17+Forshaga!D17+Grums!D17+Hagfors!D17+Hammarö!D17+Karlstad!D17+Kil!D17+Kristinehamn!D17+Munkfors!D17+Storfors!D17+Sunne!D17+Säffle!D17+Torsby!D17+Årjäng!D17</f>
        <v>0</v>
      </c>
      <c r="E17" s="73">
        <f>Arvika!E17+Eda!E17+Filipstad!E17+Forshaga!E17+Grums!E17+Hagfors!E17+Hammarö!E17+Karlstad!E17+Kil!E17+Kristinehamn!E17+Munkfors!E17+Storfors!E17+Sunne!E17+Säffle!E17+Torsby!E17+Årjäng!E17</f>
        <v>0</v>
      </c>
      <c r="F17" s="73">
        <f>Arvika!F17+Eda!F17+Filipstad!F17+Forshaga!F17+Grums!F17+Hagfors!F17+Hammarö!F17+Karlstad!F17+Kil!F17+Kristinehamn!F17+Munkfors!F17+Storfors!F17+Sunne!F17+Säffle!F17+Torsby!F17+Årjäng!F17</f>
        <v>0</v>
      </c>
      <c r="G17" s="73">
        <f>Arvika!G17+Eda!G17+Filipstad!G17+Forshaga!G17+Grums!G17+Hagfors!G17+Hammarö!G17+Karlstad!G17+Kil!G17+Kristinehamn!G17+Munkfors!G17+Storfors!G17+Sunne!G17+Säffle!G17+Torsby!G17+Årjäng!G17</f>
        <v>0</v>
      </c>
      <c r="H17" s="73">
        <f>Arvika!H17+Eda!H17+Filipstad!H17+Forshaga!H17+Grums!H17+Hagfors!H17+Hammarö!H17+Karlstad!H17+Kil!H17+Kristinehamn!H17+Munkfors!H17+Storfors!H17+Sunne!H17+Säffle!H17+Torsby!H17+Årjäng!H17</f>
        <v>0</v>
      </c>
      <c r="I17" s="73">
        <f>Arvika!I17+Eda!I17+Filipstad!I17+Forshaga!I17+Grums!I17+Hagfors!I17+Hammarö!I17+Karlstad!I17+Kil!I17+Kristinehamn!I17+Munkfors!I17+Storfors!I17+Sunne!I17+Säffle!I17+Torsby!I17+Årjäng!I17</f>
        <v>0</v>
      </c>
      <c r="J17" s="73">
        <f>Arvika!J17+Eda!J17+Filipstad!J17+Forshaga!J17+Grums!J17+Hagfors!J17+Hammarö!J17+Karlstad!J17+Kil!J17+Kristinehamn!J17+Munkfors!J17+Storfors!J17+Sunne!J17+Säffle!J17+Torsby!J17+Årjäng!J17</f>
        <v>0</v>
      </c>
      <c r="K17" s="73">
        <f>Arvika!K17+Eda!K17+Filipstad!K17+Forshaga!K17+Grums!K17+Hagfors!K17+Hammarö!K17+Karlstad!K17+Kil!K17+Kristinehamn!K17+Munkfors!K17+Storfors!K17+Sunne!K17+Säffle!K17+Torsby!K17+Årjäng!K17</f>
        <v>0</v>
      </c>
      <c r="L17" s="84">
        <f>K17/(1-N17)</f>
        <v>0</v>
      </c>
      <c r="M17" s="85">
        <f>J17-K17</f>
        <v>0</v>
      </c>
      <c r="N17" s="29">
        <v>0.03</v>
      </c>
      <c r="O17" s="67">
        <f>SUM(O15:O16)</f>
        <v>27043.747422680404</v>
      </c>
      <c r="P17" s="30"/>
      <c r="R17" t="s">
        <v>112</v>
      </c>
      <c r="S17" s="59">
        <f>SUM(S13:S16)</f>
        <v>20300189.841712542</v>
      </c>
      <c r="T17" s="59">
        <f>SUM(T13:T16)</f>
        <v>20300.189841712545</v>
      </c>
      <c r="U17" s="172"/>
      <c r="V17" s="6"/>
      <c r="W17" s="6"/>
    </row>
    <row r="18" spans="2:23" x14ac:dyDescent="0.25">
      <c r="B18" s="19" t="s">
        <v>23</v>
      </c>
      <c r="C18" s="73">
        <f>Arvika!C18+Eda!C18+Filipstad!C18+Forshaga!C18+Grums!C18+Hagfors!C18+Hammarö!C18+Karlstad!C18+Kil!C18+Kristinehamn!C18+Munkfors!C18+Storfors!C18+Sunne!C18+Säffle!C18+Torsby!C18+Årjäng!C18</f>
        <v>0</v>
      </c>
      <c r="D18" s="73">
        <f>Arvika!D18+Eda!D18+Filipstad!D18+Forshaga!D18+Grums!D18+Hagfors!D18+Hammarö!D18+Karlstad!D18+Kil!D18+Kristinehamn!D18+Munkfors!D18+Storfors!D18+Sunne!D18+Säffle!D18+Torsby!D18+Årjäng!D18</f>
        <v>0</v>
      </c>
      <c r="E18" s="73">
        <f>Arvika!E18+Eda!E18+Filipstad!E18+Forshaga!E18+Grums!E18+Hagfors!E18+Hammarö!E18+Karlstad!E18+Kil!E18+Kristinehamn!E18+Munkfors!E18+Storfors!E18+Sunne!E18+Säffle!E18+Torsby!E18+Årjäng!E18</f>
        <v>0</v>
      </c>
      <c r="F18" s="73">
        <f>Arvika!F18+Eda!F18+Filipstad!F18+Forshaga!F18+Grums!F18+Hagfors!F18+Hammarö!F18+Karlstad!F18+Kil!F18+Kristinehamn!F18+Munkfors!F18+Storfors!F18+Sunne!F18+Säffle!F18+Torsby!F18+Årjäng!F18</f>
        <v>0</v>
      </c>
      <c r="G18" s="73">
        <f>Arvika!G18+Eda!G18+Filipstad!G18+Forshaga!G18+Grums!G18+Hagfors!G18+Hammarö!G18+Karlstad!G18+Kil!G18+Kristinehamn!G18+Munkfors!G18+Storfors!G18+Sunne!G18+Säffle!G18+Torsby!G18+Årjäng!G18</f>
        <v>0</v>
      </c>
      <c r="H18" s="73">
        <f>Arvika!H18+Eda!H18+Filipstad!H18+Forshaga!H18+Grums!H18+Hagfors!H18+Hammarö!H18+Karlstad!H18+Kil!H18+Kristinehamn!H18+Munkfors!H18+Storfors!H18+Sunne!H18+Säffle!H18+Torsby!H18+Årjäng!H18</f>
        <v>0</v>
      </c>
      <c r="I18" s="73">
        <f>Arvika!I18+Eda!I18+Filipstad!I18+Forshaga!I18+Grums!I18+Hagfors!I18+Hammarö!I18+Karlstad!I18+Kil!I18+Kristinehamn!I18+Munkfors!I18+Storfors!I18+Sunne!I18+Säffle!I18+Torsby!I18+Årjäng!I18</f>
        <v>0</v>
      </c>
      <c r="J18" s="73">
        <f>Arvika!J18+Eda!J18+Filipstad!J18+Forshaga!J18+Grums!J18+Hagfors!J18+Hammarö!J18+Karlstad!J18+Kil!J18+Kristinehamn!J18+Munkfors!J18+Storfors!J18+Sunne!J18+Säffle!J18+Torsby!J18+Årjäng!J18</f>
        <v>0</v>
      </c>
      <c r="K18" s="200">
        <f>Arvika!K18+Eda!K18+Filipstad!K18+Forshaga!K18+Grums!K18+Hagfors!K18+Hammarö!K18+Karlstad!K18+Kil!K18+Kristinehamn!K18+Munkfors!K18+Storfors!K18+Sunne!K18+Säffle!K18+Torsby!K18+Årjäng!K18</f>
        <v>1915381</v>
      </c>
      <c r="L18" s="84">
        <f>K18/(1-N18)</f>
        <v>1930827.6209677421</v>
      </c>
      <c r="M18" s="85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73">
        <f>Arvika!C19+Eda!C19+Filipstad!C19+Forshaga!C19+Grums!C19+Hagfors!C19+Hammarö!C19+Karlstad!C19+Kil!C19+Kristinehamn!C19+Munkfors!C19+Storfors!C19+Sunne!C19+Säffle!C19+Torsby!C19+Årjäng!C19</f>
        <v>0</v>
      </c>
      <c r="D19" s="73">
        <f>Arvika!D19+Eda!D19+Filipstad!D19+Forshaga!D19+Grums!D19+Hagfors!D19+Hammarö!D19+Karlstad!D19+Kil!D19+Kristinehamn!D19+Munkfors!D19+Storfors!D19+Sunne!D19+Säffle!D19+Torsby!D19+Årjäng!D19</f>
        <v>0</v>
      </c>
      <c r="E19" s="73">
        <f>Arvika!E19+Eda!E19+Filipstad!E19+Forshaga!E19+Grums!E19+Hagfors!E19+Hammarö!E19+Karlstad!E19+Kil!E19+Kristinehamn!E19+Munkfors!E19+Storfors!E19+Sunne!E19+Säffle!E19+Torsby!E19+Årjäng!E19</f>
        <v>0</v>
      </c>
      <c r="F19" s="73">
        <f>Arvika!F19+Eda!F19+Filipstad!F19+Forshaga!F19+Grums!F19+Hagfors!F19+Hammarö!F19+Karlstad!F19+Kil!F19+Kristinehamn!F19+Munkfors!F19+Storfors!F19+Sunne!F19+Säffle!F19+Torsby!F19+Årjäng!F19</f>
        <v>0</v>
      </c>
      <c r="G19" s="73">
        <f>Arvika!G19+Eda!G19+Filipstad!G19+Forshaga!G19+Grums!G19+Hagfors!G19+Hammarö!G19+Karlstad!G19+Kil!G19+Kristinehamn!G19+Munkfors!G19+Storfors!G19+Sunne!G19+Säffle!G19+Torsby!G19+Årjäng!G19</f>
        <v>0</v>
      </c>
      <c r="H19" s="73">
        <f>Arvika!H19+Eda!H19+Filipstad!H19+Forshaga!H19+Grums!H19+Hagfors!H19+Hammarö!H19+Karlstad!H19+Kil!H19+Kristinehamn!H19+Munkfors!H19+Storfors!H19+Sunne!H19+Säffle!H19+Torsby!H19+Årjäng!H19</f>
        <v>0</v>
      </c>
      <c r="I19" s="73">
        <f>Arvika!I19+Eda!I19+Filipstad!I19+Forshaga!I19+Grums!I19+Hagfors!I19+Hammarö!I19+Karlstad!I19+Kil!I19+Kristinehamn!I19+Munkfors!I19+Storfors!I19+Sunne!I19+Säffle!I19+Torsby!I19+Årjäng!I19</f>
        <v>0</v>
      </c>
      <c r="J19" s="73">
        <f>Arvika!J19+Eda!J19+Filipstad!J19+Forshaga!J19+Grums!J19+Hagfors!J19+Hammarö!J19+Karlstad!J19+Kil!J19+Kristinehamn!J19+Munkfors!J19+Storfors!J19+Sunne!J19+Säffle!J19+Torsby!J19+Årjäng!J19</f>
        <v>0</v>
      </c>
      <c r="K19" s="73">
        <f>Arvika!K19+Eda!K19+Filipstad!K19+Forshaga!K19+Grums!K19+Hagfors!K19+Hammarö!K19+Karlstad!K19+Kil!K19+Kristinehamn!K19+Munkfors!K19+Storfors!K19+Sunne!K19+Säffle!K19+Torsby!K19+Årjäng!K19</f>
        <v>84466</v>
      </c>
      <c r="L19" s="84">
        <f>K19/(1-N19)</f>
        <v>84466</v>
      </c>
      <c r="M19" s="85"/>
      <c r="N19" s="1">
        <v>0</v>
      </c>
      <c r="P19" s="30"/>
      <c r="R19" s="19" t="s">
        <v>113</v>
      </c>
      <c r="S19" s="21">
        <f>IF(K28&lt;0,0,K28)</f>
        <v>0</v>
      </c>
      <c r="T19" s="171">
        <f t="shared" ref="T19:T25" si="4">S19/1000</f>
        <v>0</v>
      </c>
      <c r="U19"/>
      <c r="V19" s="6"/>
    </row>
    <row r="20" spans="2:23" x14ac:dyDescent="0.25">
      <c r="B20" s="19" t="s">
        <v>14</v>
      </c>
      <c r="C20" s="73">
        <f t="shared" ref="C20:J20" si="5">SUM(C15:C19)</f>
        <v>28773</v>
      </c>
      <c r="D20" s="73">
        <f t="shared" si="5"/>
        <v>42160</v>
      </c>
      <c r="E20" s="73">
        <f t="shared" si="5"/>
        <v>0</v>
      </c>
      <c r="F20" s="73">
        <f t="shared" si="5"/>
        <v>9165.8706709893377</v>
      </c>
      <c r="G20" s="73">
        <f t="shared" ref="G20" si="6">SUM(G15:G19)</f>
        <v>351953.12932901067</v>
      </c>
      <c r="H20" s="200">
        <f t="shared" si="5"/>
        <v>627465.82926829264</v>
      </c>
      <c r="I20" s="73">
        <f t="shared" si="5"/>
        <v>0</v>
      </c>
      <c r="J20" s="200">
        <f t="shared" si="5"/>
        <v>1059517.8292682925</v>
      </c>
      <c r="K20" s="73">
        <f>SUM(K15:K19)</f>
        <v>2874261.5</v>
      </c>
      <c r="L20" s="86">
        <f>SUM(L15:L19)</f>
        <v>2916751.8683904223</v>
      </c>
      <c r="M20" s="85">
        <f>SUM(M15:M19)</f>
        <v>185103.32926829264</v>
      </c>
      <c r="N20" s="32"/>
      <c r="O20" s="33">
        <f>L21-O17</f>
        <v>15446.62096774191</v>
      </c>
      <c r="P20" s="30"/>
      <c r="R20" s="19" t="s">
        <v>35</v>
      </c>
      <c r="S20" s="174">
        <f>L32</f>
        <v>230753.5</v>
      </c>
      <c r="T20" s="171">
        <f t="shared" si="4"/>
        <v>230.7535</v>
      </c>
      <c r="U20"/>
      <c r="V20" s="6"/>
    </row>
    <row r="21" spans="2:23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8"/>
      <c r="L21" s="87">
        <f>L20-K20</f>
        <v>42490.368390422314</v>
      </c>
      <c r="M21" s="79"/>
      <c r="N21" s="30"/>
      <c r="R21" s="19" t="s">
        <v>36</v>
      </c>
      <c r="S21" s="174">
        <f t="shared" ref="S21:S24" si="7">L33</f>
        <v>10983236.308333334</v>
      </c>
      <c r="T21" s="171">
        <f t="shared" si="4"/>
        <v>10983.236308333333</v>
      </c>
      <c r="U21" s="172"/>
    </row>
    <row r="22" spans="2:23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R22" s="19" t="s">
        <v>37</v>
      </c>
      <c r="S22" s="174">
        <f t="shared" si="7"/>
        <v>504510.89948615921</v>
      </c>
      <c r="T22" s="171">
        <f t="shared" si="4"/>
        <v>504.51089948615919</v>
      </c>
      <c r="U22" s="172"/>
    </row>
    <row r="23" spans="2:23" ht="15.75" thickBot="1" x14ac:dyDescent="0.3">
      <c r="B23" s="35" t="s">
        <v>25</v>
      </c>
      <c r="C23" s="88"/>
      <c r="D23" s="88"/>
      <c r="E23" s="88"/>
      <c r="F23" s="88"/>
      <c r="G23" s="88"/>
      <c r="H23" s="88"/>
      <c r="I23" s="88">
        <f>H46*1000</f>
        <v>9500</v>
      </c>
      <c r="J23" s="88"/>
      <c r="K23" s="88"/>
      <c r="L23" s="88"/>
      <c r="M23" s="89"/>
      <c r="R23" s="19" t="s">
        <v>38</v>
      </c>
      <c r="S23" s="174">
        <f t="shared" si="7"/>
        <v>3242171</v>
      </c>
      <c r="T23" s="171">
        <f t="shared" si="4"/>
        <v>3242.1709999999998</v>
      </c>
      <c r="U23" s="172"/>
    </row>
    <row r="24" spans="2:23" x14ac:dyDescent="0.25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R24" s="19" t="s">
        <v>39</v>
      </c>
      <c r="S24" s="174">
        <f t="shared" si="7"/>
        <v>981349.11740389303</v>
      </c>
      <c r="T24" s="171">
        <f t="shared" si="4"/>
        <v>981.34911740389305</v>
      </c>
      <c r="U24" s="172"/>
    </row>
    <row r="25" spans="2:23" ht="15.75" thickBot="1" x14ac:dyDescent="0.3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R25" s="19" t="s">
        <v>44</v>
      </c>
      <c r="S25" s="174">
        <f>L41</f>
        <v>2441042.4899999998</v>
      </c>
      <c r="T25" s="171">
        <f t="shared" si="4"/>
        <v>2441.0424899999998</v>
      </c>
      <c r="U25" s="172"/>
    </row>
    <row r="26" spans="2:23" ht="15.75" thickBot="1" x14ac:dyDescent="0.3">
      <c r="B26" s="8"/>
      <c r="C26" s="90"/>
      <c r="D26" s="90"/>
      <c r="E26" s="90"/>
      <c r="F26" s="90"/>
      <c r="G26" s="90"/>
      <c r="H26" s="90"/>
      <c r="I26" s="70"/>
      <c r="J26" s="91" t="s">
        <v>26</v>
      </c>
      <c r="K26" s="92" t="s">
        <v>27</v>
      </c>
      <c r="L26" s="70"/>
      <c r="M26" s="70"/>
      <c r="N26" s="38" t="s">
        <v>28</v>
      </c>
      <c r="R26" s="19" t="s">
        <v>114</v>
      </c>
      <c r="S26" s="60">
        <f>SUM(S20:S25)</f>
        <v>18383063.315223385</v>
      </c>
      <c r="T26" s="60">
        <f>SUM(T20:T25)</f>
        <v>18383.063315223386</v>
      </c>
      <c r="U26" s="172"/>
    </row>
    <row r="27" spans="2:23" x14ac:dyDescent="0.25">
      <c r="B27" s="39" t="s">
        <v>29</v>
      </c>
      <c r="C27" s="73"/>
      <c r="D27" s="73"/>
      <c r="E27" s="73"/>
      <c r="F27" s="73"/>
      <c r="G27" s="73"/>
      <c r="H27" s="73"/>
      <c r="I27" s="70"/>
      <c r="J27" s="69">
        <f>K10-J40</f>
        <v>198115.62400000007</v>
      </c>
      <c r="K27" s="134">
        <f>K40*8%</f>
        <v>413387.37047120422</v>
      </c>
      <c r="L27" s="70"/>
      <c r="M27" s="70"/>
      <c r="N27" s="40">
        <f>100-(J40/K10*100)</f>
        <v>11.961445282665721</v>
      </c>
      <c r="R27" s="175" t="s">
        <v>115</v>
      </c>
      <c r="S27" s="176"/>
      <c r="T27" s="177">
        <f t="shared" ref="T27:T34" si="8">S27/1000</f>
        <v>0</v>
      </c>
      <c r="U27" s="172"/>
    </row>
    <row r="28" spans="2:23" ht="15.75" thickBot="1" x14ac:dyDescent="0.3">
      <c r="B28" s="35" t="s">
        <v>30</v>
      </c>
      <c r="C28" s="93"/>
      <c r="D28" s="93"/>
      <c r="E28" s="93"/>
      <c r="F28" s="93"/>
      <c r="G28" s="93"/>
      <c r="H28" s="93"/>
      <c r="I28" s="93"/>
      <c r="J28" s="94">
        <f>J40+J27-K10</f>
        <v>0</v>
      </c>
      <c r="K28" s="95">
        <f>K20-K27-K40</f>
        <v>-2706468.0013612569</v>
      </c>
      <c r="L28" s="70"/>
      <c r="M28" s="70"/>
      <c r="N28" s="1" t="str">
        <f>IF(N27&gt;10,"OBS! HÖGA FÖRLUSTER","OK")</f>
        <v>OBS! HÖGA FÖRLUSTER</v>
      </c>
      <c r="R28" s="51" t="s">
        <v>116</v>
      </c>
      <c r="S28" s="52">
        <f>K27</f>
        <v>413387.37047120422</v>
      </c>
      <c r="T28" s="178">
        <f>S28/1000</f>
        <v>413.38737047120424</v>
      </c>
      <c r="U28" s="172"/>
    </row>
    <row r="29" spans="2:23" ht="15.75" thickBot="1" x14ac:dyDescent="0.3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R29" s="51" t="s">
        <v>117</v>
      </c>
      <c r="S29" s="52">
        <f>J27</f>
        <v>198115.62400000007</v>
      </c>
      <c r="T29" s="178">
        <f t="shared" si="8"/>
        <v>198.11562400000008</v>
      </c>
      <c r="U29" s="53"/>
    </row>
    <row r="30" spans="2:23" ht="15.75" thickBot="1" x14ac:dyDescent="0.3">
      <c r="B30" s="8"/>
      <c r="C30" s="96" t="s">
        <v>0</v>
      </c>
      <c r="D30" s="96"/>
      <c r="E30" s="96"/>
      <c r="F30" s="96" t="s">
        <v>1</v>
      </c>
      <c r="G30" s="96"/>
      <c r="H30" s="96"/>
      <c r="I30" s="90"/>
      <c r="J30" s="90"/>
      <c r="K30" s="90"/>
      <c r="L30" s="97"/>
      <c r="M30" s="70"/>
      <c r="R30" s="51" t="s">
        <v>118</v>
      </c>
      <c r="S30" s="52">
        <f>L21</f>
        <v>42490.368390422314</v>
      </c>
      <c r="T30" s="178">
        <f t="shared" si="8"/>
        <v>42.490368390422312</v>
      </c>
      <c r="U30" s="53"/>
    </row>
    <row r="31" spans="2:23" ht="30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98" t="s">
        <v>32</v>
      </c>
      <c r="K31" s="98" t="s">
        <v>33</v>
      </c>
      <c r="L31" s="99" t="s">
        <v>34</v>
      </c>
      <c r="M31" s="70"/>
      <c r="R31" s="51" t="s">
        <v>119</v>
      </c>
      <c r="S31" s="52">
        <f>M4</f>
        <v>72730.930731707369</v>
      </c>
      <c r="T31" s="178">
        <f t="shared" si="8"/>
        <v>72.730930731707375</v>
      </c>
      <c r="U31" s="53"/>
    </row>
    <row r="32" spans="2:23" x14ac:dyDescent="0.25">
      <c r="B32" s="19" t="s">
        <v>35</v>
      </c>
      <c r="C32" s="200">
        <f>Arvika!C32+Eda!C32+Filipstad!C32+Forshaga!C32+Grums!C32+Hagfors!C32+Hammarö!C32+Karlstad!C32+Kil!C32+Kristinehamn!C32+Munkfors!C32+Storfors!C32+Sunne!C32+Säffle!C32+Torsby!C32+Årjäng!C32</f>
        <v>88544</v>
      </c>
      <c r="D32" s="73">
        <f>Arvika!D32+Eda!D32+Filipstad!D32+Forshaga!D32+Grums!D32+Hagfors!D32+Hammarö!D32+Karlstad!D32+Kil!D32+Kristinehamn!D32+Munkfors!D32+Storfors!D32+Sunne!D32+Säffle!D32+Torsby!D32+Årjäng!D32</f>
        <v>0</v>
      </c>
      <c r="E32" s="73">
        <f>Arvika!E32+Eda!E32+Filipstad!E32+Forshaga!E32+Grums!E32+Hagfors!E32+Hammarö!E32+Karlstad!E32+Kil!E32+Kristinehamn!E32+Munkfors!E32+Storfors!E32+Sunne!E32+Säffle!E32+Torsby!E32+Årjäng!E32</f>
        <v>0</v>
      </c>
      <c r="F32" s="200">
        <f>Arvika!F32+Eda!F32+Filipstad!F32+Forshaga!F32+Grums!F32+Hagfors!F32+Hammarö!F32+Karlstad!F32+Kil!F32+Kristinehamn!F32+Munkfors!F32+Storfors!F32+Sunne!F32+Säffle!F32+Torsby!F32+Årjäng!F32</f>
        <v>9363.5</v>
      </c>
      <c r="G32" s="73">
        <f>Arvika!G32+Eda!G32+Filipstad!G32+Forshaga!G32+Grums!G32+Hagfors!G32+Hammarö!G32+Karlstad!G32+Kil!G32+Kristinehamn!G32+Munkfors!G32+Storfors!G32+Sunne!G32+Säffle!G32+Torsby!G32+Årjäng!G32</f>
        <v>0</v>
      </c>
      <c r="H32" s="73">
        <f>Arvika!H32+Eda!H32+Filipstad!H32+Forshaga!H32+Grums!H32+Hagfors!H32+Hammarö!H32+Karlstad!H32+Kil!H32+Kristinehamn!H32+Munkfors!H32+Storfors!H32+Sunne!H32+Säffle!H32+Torsby!H32+Årjäng!H32</f>
        <v>0</v>
      </c>
      <c r="I32" s="73">
        <f>Arvika!I32+Eda!I32+Filipstad!I32+Forshaga!I32+Grums!I32+Hagfors!I32+Hammarö!I32+Karlstad!I32+Kil!I32+Kristinehamn!I32+Munkfors!I32+Storfors!I32+Sunne!I32+Säffle!I32+Torsby!I32+Årjäng!I32</f>
        <v>0</v>
      </c>
      <c r="J32" s="73">
        <f>Arvika!J32+Eda!J32+Filipstad!J32+Forshaga!J32+Grums!J32+Hagfors!J32+Hammarö!J32+Karlstad!J32+Kil!J32+Kristinehamn!J32+Munkfors!J32+Storfors!J32+Sunne!J32+Säffle!J32+Torsby!J32+Årjäng!J32</f>
        <v>0</v>
      </c>
      <c r="K32" s="73">
        <f>Arvika!K32+Eda!K32+Filipstad!K32+Forshaga!K32+Grums!K32+Hagfors!K32+Hammarö!K32+Karlstad!K32+Kil!K32+Kristinehamn!K32+Munkfors!K32+Storfors!K32+Sunne!K32+Säffle!K32+Torsby!K32+Årjäng!K32</f>
        <v>132846</v>
      </c>
      <c r="L32" s="209">
        <f>SUM(C32:K32)</f>
        <v>230753.5</v>
      </c>
      <c r="M32" s="70"/>
      <c r="R32" s="51" t="s">
        <v>120</v>
      </c>
      <c r="S32" s="52">
        <f>M5</f>
        <v>137453.40362753288</v>
      </c>
      <c r="T32" s="178">
        <f t="shared" si="8"/>
        <v>137.45340362753288</v>
      </c>
      <c r="U32" s="53"/>
    </row>
    <row r="33" spans="2:40" x14ac:dyDescent="0.25">
      <c r="B33" s="19" t="s">
        <v>36</v>
      </c>
      <c r="C33" s="200">
        <f>Arvika!C33+Eda!C33+Filipstad!C33+Forshaga!C33+Grums!C33+Hagfors!C33+Hammarö!C33+Karlstad!C33+Kil!C33+Kristinehamn!C33+Munkfors!C33+Storfors!C33+Sunne!C33+Säffle!C33+Torsby!C33+Årjäng!C33</f>
        <v>585469.05000000005</v>
      </c>
      <c r="D33" s="73">
        <f>Arvika!D33+Eda!D33+Filipstad!D33+Forshaga!D33+Grums!D33+Hagfors!D33+Hammarö!D33+Karlstad!D33+Kil!D33+Kristinehamn!D33+Munkfors!D33+Storfors!D33+Sunne!D33+Säffle!D33+Torsby!D33+Årjäng!D33</f>
        <v>0</v>
      </c>
      <c r="E33" s="200">
        <f>Arvika!E33+Eda!E33+Filipstad!E33+Forshaga!E33+Grums!E33+Hagfors!E33+Hammarö!E33+Karlstad!E33+Kil!E33+Kristinehamn!E33+Munkfors!E33+Storfors!E33+Sunne!E33+Säffle!E33+Torsby!E33+Årjäng!E33</f>
        <v>308714.06233333331</v>
      </c>
      <c r="F33" s="200">
        <f>Arvika!F33+Eda!F33+Filipstad!F33+Forshaga!F33+Grums!F33+Hagfors!F33+Hammarö!F33+Karlstad!F33+Kil!F33+Kristinehamn!F33+Munkfors!F33+Storfors!F33+Sunne!F33+Säffle!F33+Torsby!F33+Årjäng!F33</f>
        <v>228576.12932901067</v>
      </c>
      <c r="G33" s="200">
        <f>Arvika!G33+Eda!G33+Filipstad!G33+Forshaga!G33+Grums!G33+Hagfors!G33+Hammarö!G33+Karlstad!G33+Kil!G33+Kristinehamn!G33+Munkfors!G33+Storfors!G33+Sunne!G33+Säffle!G33+Torsby!G33+Årjäng!G33</f>
        <v>5062850.8706709892</v>
      </c>
      <c r="H33" s="200">
        <f>Arvika!H33+Eda!H33+Filipstad!H33+Forshaga!H33+Grums!H33+Hagfors!H33+Hammarö!H33+Karlstad!H33+Kil!H33+Kristinehamn!H33+Munkfors!H33+Storfors!H33+Sunne!H33+Säffle!H33+Torsby!H33+Årjäng!H33</f>
        <v>1567264.196</v>
      </c>
      <c r="I33" s="200">
        <f>Arvika!I33+Eda!I33+Filipstad!I33+Forshaga!I33+Grums!I33+Hagfors!I33+Hammarö!I33+Karlstad!I33+Kil!I33+Kristinehamn!I33+Munkfors!I33+Storfors!I33+Sunne!I33+Säffle!I33+Torsby!I33+Årjäng!I33</f>
        <v>39000</v>
      </c>
      <c r="J33" s="200">
        <f>Arvika!J33+Eda!J33+Filipstad!J33+Forshaga!J33+Grums!J33+Hagfors!J33+Hammarö!J33+Karlstad!J33+Kil!J33+Kristinehamn!J33+Munkfors!J33+Storfors!J33+Sunne!J33+Säffle!J33+Torsby!J33+Årjäng!J33</f>
        <v>327540</v>
      </c>
      <c r="K33" s="200">
        <f>Arvika!K33+Eda!K33+Filipstad!K33+Forshaga!K33+Grums!K33+Hagfors!K33+Hammarö!K33+Karlstad!K33+Kil!K33+Kristinehamn!K33+Munkfors!K33+Storfors!K33+Sunne!K33+Säffle!K33+Torsby!K33+Årjäng!K33</f>
        <v>2863822</v>
      </c>
      <c r="L33" s="209">
        <f t="shared" ref="L33:L40" si="9">SUM(C33:K33)</f>
        <v>10983236.308333334</v>
      </c>
      <c r="M33" s="70"/>
      <c r="R33" s="51" t="s">
        <v>121</v>
      </c>
      <c r="S33" s="52">
        <f>M15</f>
        <v>25153</v>
      </c>
      <c r="T33" s="178">
        <f t="shared" si="8"/>
        <v>25.152999999999999</v>
      </c>
      <c r="U33" s="53"/>
    </row>
    <row r="34" spans="2:40" ht="15.75" thickBot="1" x14ac:dyDescent="0.3">
      <c r="B34" s="19" t="s">
        <v>37</v>
      </c>
      <c r="C34" s="200">
        <f>Arvika!C34+Eda!C34+Filipstad!C34+Forshaga!C34+Grums!C34+Hagfors!C34+Hammarö!C34+Karlstad!C34+Kil!C34+Kristinehamn!C34+Munkfors!C34+Storfors!C34+Sunne!C34+Säffle!C34+Torsby!C34+Årjäng!C34</f>
        <v>7586</v>
      </c>
      <c r="D34" s="73">
        <f>Arvika!D34+Eda!D34+Filipstad!D34+Forshaga!D34+Grums!D34+Hagfors!D34+Hammarö!D34+Karlstad!D34+Kil!D34+Kristinehamn!D34+Munkfors!D34+Storfors!D34+Sunne!D34+Säffle!D34+Torsby!D34+Årjäng!D34</f>
        <v>0</v>
      </c>
      <c r="E34" s="73">
        <f>Arvika!E34+Eda!E34+Filipstad!E34+Forshaga!E34+Grums!E34+Hagfors!E34+Hammarö!E34+Karlstad!E34+Kil!E34+Kristinehamn!E34+Munkfors!E34+Storfors!E34+Sunne!E34+Säffle!E34+Torsby!E34+Årjäng!E34</f>
        <v>0</v>
      </c>
      <c r="F34" s="73">
        <f>Arvika!F34+Eda!F34+Filipstad!F34+Forshaga!F34+Grums!F34+Hagfors!F34+Hammarö!F34+Karlstad!F34+Kil!F34+Kristinehamn!F34+Munkfors!F34+Storfors!F34+Sunne!F34+Säffle!F34+Torsby!F34+Årjäng!F34</f>
        <v>0</v>
      </c>
      <c r="G34" s="73">
        <f>Arvika!G34+Eda!G34+Filipstad!G34+Forshaga!G34+Grums!G34+Hagfors!G34+Hammarö!G34+Karlstad!G34+Kil!G34+Kristinehamn!G34+Munkfors!G34+Storfors!G34+Sunne!G34+Säffle!G34+Torsby!G34+Årjäng!G34</f>
        <v>0</v>
      </c>
      <c r="H34" s="73">
        <f>Arvika!H34+Eda!H34+Filipstad!H34+Forshaga!H34+Grums!H34+Hagfors!H34+Hammarö!H34+Karlstad!H34+Kil!H34+Kristinehamn!H34+Munkfors!H34+Storfors!H34+Sunne!H34+Säffle!H34+Torsby!H34+Årjäng!H34</f>
        <v>0</v>
      </c>
      <c r="I34" s="73">
        <f>Arvika!I34+Eda!I34+Filipstad!I34+Forshaga!I34+Grums!I34+Hagfors!I34+Hammarö!I34+Karlstad!I34+Kil!I34+Kristinehamn!I34+Munkfors!I34+Storfors!I34+Sunne!I34+Säffle!I34+Torsby!I34+Årjäng!I34</f>
        <v>0</v>
      </c>
      <c r="J34" s="200">
        <f>Arvika!J34+Eda!J34+Filipstad!J34+Forshaga!J34+Grums!J34+Hagfors!J34+Hammarö!J34+Karlstad!J34+Kil!J34+Kristinehamn!J34+Munkfors!J34+Storfors!J34+Sunne!J34+Säffle!J34+Torsby!J34+Årjäng!J34</f>
        <v>203464.89948615924</v>
      </c>
      <c r="K34" s="73">
        <f>Arvika!K34+Eda!K34+Filipstad!K34+Forshaga!K34+Grums!K34+Hagfors!K34+Hammarö!K34+Karlstad!K34+Kil!K34+Kristinehamn!K34+Munkfors!K34+Storfors!K34+Sunne!K34+Säffle!K34+Torsby!K34+Årjäng!K34</f>
        <v>293460</v>
      </c>
      <c r="L34" s="209">
        <f t="shared" si="9"/>
        <v>504510.89948615921</v>
      </c>
      <c r="M34" s="70"/>
      <c r="R34" s="56" t="s">
        <v>122</v>
      </c>
      <c r="S34" s="179">
        <f>M16</f>
        <v>159950.32926829264</v>
      </c>
      <c r="T34" s="180">
        <f t="shared" si="8"/>
        <v>159.95032926829265</v>
      </c>
      <c r="U34" s="53"/>
    </row>
    <row r="35" spans="2:40" x14ac:dyDescent="0.25">
      <c r="B35" s="19" t="s">
        <v>38</v>
      </c>
      <c r="C35" s="73">
        <f>Arvika!C35+Eda!C35+Filipstad!C35+Forshaga!C35+Grums!C35+Hagfors!C35+Hammarö!C35+Karlstad!C35+Kil!C35+Kristinehamn!C35+Munkfors!C35+Storfors!C35+Sunne!C35+Säffle!C35+Torsby!C35+Årjäng!C35</f>
        <v>2878005</v>
      </c>
      <c r="D35" s="73">
        <f>Arvika!D35+Eda!D35+Filipstad!D35+Forshaga!D35+Grums!D35+Hagfors!D35+Hammarö!D35+Karlstad!D35+Kil!D35+Kristinehamn!D35+Munkfors!D35+Storfors!D35+Sunne!D35+Säffle!D35+Torsby!D35+Årjäng!D35</f>
        <v>0</v>
      </c>
      <c r="E35" s="200">
        <f>F50</f>
        <v>2840.2</v>
      </c>
      <c r="F35" s="73">
        <f>Arvika!F35+Eda!F35+Filipstad!F35+Forshaga!F35+Grums!F35+Hagfors!F35+Hammarö!F35+Karlstad!F35+Kil!F35+Kristinehamn!F35+Munkfors!F35+Storfors!F35+Sunne!F35+Säffle!F35+Torsby!F35+Årjäng!F35</f>
        <v>271598</v>
      </c>
      <c r="G35" s="73">
        <f>Arvika!G35+Eda!G35+Filipstad!G35+Forshaga!G35+Grums!G35+Hagfors!G35+Hammarö!G35+Karlstad!G35+Kil!G35+Kristinehamn!G35+Munkfors!G35+Storfors!G35+Sunne!G35+Säffle!G35+Torsby!G35+Årjäng!G35</f>
        <v>0</v>
      </c>
      <c r="H35" s="73">
        <f>Arvika!H35+Eda!H35+Filipstad!H35+Forshaga!H35+Grums!H35+Hagfors!H35+Hammarö!H35+Karlstad!H35+Kil!H35+Kristinehamn!H35+Munkfors!H35+Storfors!H35+Sunne!H35+Säffle!H35+Torsby!H35+Årjäng!H35</f>
        <v>0</v>
      </c>
      <c r="I35" s="200">
        <f>I23+F51</f>
        <v>13114.8</v>
      </c>
      <c r="J35" s="73">
        <f>Arvika!J35+Eda!J35+Filipstad!J35+Forshaga!J35+Grums!J35+Hagfors!J35+Hammarö!J35+Karlstad!J35+Kil!J35+Kristinehamn!J35+Munkfors!J35+Storfors!J35+Sunne!J35+Säffle!J35+Torsby!J35+Årjäng!J35</f>
        <v>0</v>
      </c>
      <c r="K35" s="73">
        <f>Arvika!K35+Eda!K35+Filipstad!K35+Forshaga!K35+Grums!K35+Hagfors!K35+Hammarö!K35+Karlstad!K35+Kil!K35+Kristinehamn!K35+Munkfors!K35+Storfors!K35+Sunne!K35+Säffle!K35+Torsby!K35+Årjäng!K35</f>
        <v>76613</v>
      </c>
      <c r="L35" s="71">
        <f t="shared" si="9"/>
        <v>3242171</v>
      </c>
      <c r="M35" s="70"/>
      <c r="R35" s="173" t="s">
        <v>123</v>
      </c>
      <c r="S35" s="181">
        <f>SUM(S28:S34)</f>
        <v>1049281.0264891596</v>
      </c>
      <c r="T35" s="61">
        <f>SUM(T28:T34)</f>
        <v>1049.2810264891596</v>
      </c>
      <c r="U35" s="53"/>
    </row>
    <row r="36" spans="2:40" x14ac:dyDescent="0.25">
      <c r="B36" s="19" t="s">
        <v>39</v>
      </c>
      <c r="C36" s="200">
        <f>Arvika!C36+Eda!C36+Filipstad!C36+Forshaga!C36+Grums!C36+Hagfors!C36+Hammarö!C36+Karlstad!C36+Kil!C36+Kristinehamn!C36+Munkfors!C36+Storfors!C36+Sunne!C36+Säffle!C36+Torsby!C36+Årjäng!C36</f>
        <v>84877.5</v>
      </c>
      <c r="D36" s="73">
        <f>Arvika!D36+Eda!D36+Filipstad!D36+Forshaga!D36+Grums!D36+Hagfors!D36+Hammarö!D36+Karlstad!D36+Kil!D36+Kristinehamn!D36+Munkfors!D36+Storfors!D36+Sunne!D36+Säffle!D36+Torsby!D36+Årjäng!D36</f>
        <v>0</v>
      </c>
      <c r="E36" s="73">
        <f>Arvika!E36+Eda!E36+Filipstad!E36+Forshaga!E36+Grums!E36+Hagfors!E36+Hammarö!E36+Karlstad!E36+Kil!E36+Kristinehamn!E36+Munkfors!E36+Storfors!E36+Sunne!E36+Säffle!E36+Torsby!E36+Årjäng!E36</f>
        <v>0</v>
      </c>
      <c r="F36" s="73">
        <f>Arvika!F36+Eda!F36+Filipstad!F36+Forshaga!F36+Grums!F36+Hagfors!F36+Hammarö!F36+Karlstad!F36+Kil!F36+Kristinehamn!F36+Munkfors!F36+Storfors!F36+Sunne!F36+Säffle!F36+Torsby!F36+Årjäng!F36</f>
        <v>0</v>
      </c>
      <c r="G36" s="73">
        <f>Arvika!G36+Eda!G36+Filipstad!G36+Forshaga!G36+Grums!G36+Hagfors!G36+Hammarö!G36+Karlstad!G36+Kil!G36+Kristinehamn!G36+Munkfors!G36+Storfors!G36+Sunne!G36+Säffle!G36+Torsby!G36+Årjäng!G36</f>
        <v>0</v>
      </c>
      <c r="H36" s="73">
        <f>Arvika!H36+Eda!H36+Filipstad!H36+Forshaga!H36+Grums!H36+Hagfors!H36+Hammarö!H36+Karlstad!H36+Kil!H36+Kristinehamn!H36+Munkfors!H36+Storfors!H36+Sunne!H36+Säffle!H36+Torsby!H36+Årjäng!H36</f>
        <v>0</v>
      </c>
      <c r="I36" s="73">
        <f>Arvika!I36+Eda!I36+Filipstad!I36+Forshaga!I36+Grums!I36+Hagfors!I36+Hammarö!I36+Karlstad!I36+Kil!I36+Kristinehamn!I36+Munkfors!I36+Storfors!I36+Sunne!I36+Säffle!I36+Torsby!I36+Årjäng!I36</f>
        <v>0</v>
      </c>
      <c r="J36" s="200">
        <f>Arvika!J36+Eda!J36+Filipstad!J36+Forshaga!J36+Grums!J36+Hagfors!J36+Hammarö!J36+Karlstad!J36+Kil!J36+Kristinehamn!J36+Munkfors!J36+Storfors!J36+Sunne!J36+Säffle!J36+Torsby!J36+Årjäng!J36</f>
        <v>218890.48651384076</v>
      </c>
      <c r="K36" s="200">
        <f>Arvika!K36+Eda!K36+Filipstad!K36+Forshaga!K36+Grums!K36+Hagfors!K36+Hammarö!K36+Karlstad!K36+Kil!K36+Kristinehamn!K36+Munkfors!K36+Storfors!K36+Sunne!K36+Säffle!K36+Torsby!K36+Årjäng!K36</f>
        <v>677581.1308900523</v>
      </c>
      <c r="L36" s="209">
        <f t="shared" si="9"/>
        <v>981349.11740389303</v>
      </c>
      <c r="M36" s="70"/>
      <c r="R36" s="173" t="s">
        <v>124</v>
      </c>
      <c r="S36"/>
      <c r="T36" s="60">
        <f>T26+T35+T19</f>
        <v>19432.344341712545</v>
      </c>
    </row>
    <row r="37" spans="2:40" x14ac:dyDescent="0.25">
      <c r="B37" s="19" t="s">
        <v>40</v>
      </c>
      <c r="C37" s="200">
        <f>Arvika!C37+Eda!C37+Filipstad!C37+Forshaga!C37+Grums!C37+Hagfors!C37+Hammarö!C37+Karlstad!C37+Kil!C37+Kristinehamn!C37+Munkfors!C37+Storfors!C37+Sunne!C37+Säffle!C37+Torsby!C37+Årjäng!C37</f>
        <v>21314.5</v>
      </c>
      <c r="D37" s="73">
        <f>Arvika!D37+Eda!D37+Filipstad!D37+Forshaga!D37+Grums!D37+Hagfors!D37+Hammarö!D37+Karlstad!D37+Kil!D37+Kristinehamn!D37+Munkfors!D37+Storfors!D37+Sunne!D37+Säffle!D37+Torsby!D37+Årjäng!D37</f>
        <v>0</v>
      </c>
      <c r="E37" s="73">
        <f>Arvika!E37+Eda!E37+Filipstad!E37+Forshaga!E37+Grums!E37+Hagfors!E37+Hammarö!E37+Karlstad!E37+Kil!E37+Kristinehamn!E37+Munkfors!E37+Storfors!E37+Sunne!E37+Säffle!E37+Torsby!E37+Årjäng!E37</f>
        <v>0</v>
      </c>
      <c r="F37" s="73">
        <f>Arvika!F37+Eda!F37+Filipstad!F37+Forshaga!F37+Grums!F37+Hagfors!F37+Hammarö!F37+Karlstad!F37+Kil!F37+Kristinehamn!F37+Munkfors!F37+Storfors!F37+Sunne!F37+Säffle!F37+Torsby!F37+Årjäng!F37</f>
        <v>0</v>
      </c>
      <c r="G37" s="73">
        <f>Arvika!G37+Eda!G37+Filipstad!G37+Forshaga!G37+Grums!G37+Hagfors!G37+Hammarö!G37+Karlstad!G37+Kil!G37+Kristinehamn!G37+Munkfors!G37+Storfors!G37+Sunne!G37+Säffle!G37+Torsby!G37+Årjäng!G37</f>
        <v>0</v>
      </c>
      <c r="H37" s="200">
        <f>Arvika!H37+Eda!H37+Filipstad!H37+Forshaga!H37+Grums!H37+Hagfors!H37+Hammarö!H37+Karlstad!H37+Kil!H37+Kristinehamn!H37+Munkfors!H37+Storfors!H37+Sunne!H37+Säffle!H37+Torsby!H37+Årjäng!H37</f>
        <v>586380</v>
      </c>
      <c r="I37" s="73">
        <f>Arvika!I37+Eda!I37+Filipstad!I37+Forshaga!I37+Grums!I37+Hagfors!I37+Hammarö!I37+Karlstad!I37+Kil!I37+Kristinehamn!I37+Munkfors!I37+Storfors!I37+Sunne!I37+Säffle!I37+Torsby!I37+Årjäng!I37</f>
        <v>0</v>
      </c>
      <c r="J37" s="200">
        <f>Arvika!J37+Eda!J37+Filipstad!J37+Forshaga!J37+Grums!J37+Hagfors!J37+Hammarö!J37+Karlstad!J37+Kil!J37+Kristinehamn!J37+Munkfors!J37+Storfors!J37+Sunne!J37+Säffle!J37+Torsby!J37+Årjäng!J37</f>
        <v>163777.48499999999</v>
      </c>
      <c r="K37" s="73">
        <f>Arvika!K37+Eda!K37+Filipstad!K37+Forshaga!K37+Grums!K37+Hagfors!K37+Hammarö!K37+Karlstad!K37+Kil!K37+Kristinehamn!K37+Munkfors!K37+Storfors!K37+Sunne!K37+Säffle!K37+Torsby!K37+Årjäng!K37</f>
        <v>895824</v>
      </c>
      <c r="L37" s="209">
        <f t="shared" si="9"/>
        <v>1667295.9849999999</v>
      </c>
      <c r="M37" s="70"/>
      <c r="R37" s="1" t="s">
        <v>125</v>
      </c>
      <c r="S37"/>
      <c r="T37" s="183">
        <f>T17-T36</f>
        <v>867.84549999999945</v>
      </c>
      <c r="U37"/>
    </row>
    <row r="38" spans="2:40" x14ac:dyDescent="0.25">
      <c r="B38" s="19" t="s">
        <v>41</v>
      </c>
      <c r="C38" s="73">
        <f>Arvika!C38+Eda!C38+Filipstad!C38+Forshaga!C38+Grums!C38+Hagfors!C38+Hammarö!C38+Karlstad!C38+Kil!C38+Kristinehamn!C38+Munkfors!C38+Storfors!C38+Sunne!C38+Säffle!C38+Torsby!C38+Årjäng!C38</f>
        <v>2054</v>
      </c>
      <c r="D38" s="73">
        <f>Arvika!D38+Eda!D38+Filipstad!D38+Forshaga!D38+Grums!D38+Hagfors!D38+Hammarö!D38+Karlstad!D38+Kil!D38+Kristinehamn!D38+Munkfors!D38+Storfors!D38+Sunne!D38+Säffle!D38+Torsby!D38+Årjäng!D38</f>
        <v>0</v>
      </c>
      <c r="E38" s="73">
        <f>Arvika!E38+Eda!E38+Filipstad!E38+Forshaga!E38+Grums!E38+Hagfors!E38+Hammarö!E38+Karlstad!E38+Kil!E38+Kristinehamn!E38+Munkfors!E38+Storfors!E38+Sunne!E38+Säffle!E38+Torsby!E38+Årjäng!E38</f>
        <v>0</v>
      </c>
      <c r="F38" s="73">
        <f>Arvika!F38+Eda!F38+Filipstad!F38+Forshaga!F38+Grums!F38+Hagfors!F38+Hammarö!F38+Karlstad!F38+Kil!F38+Kristinehamn!F38+Munkfors!F38+Storfors!F38+Sunne!F38+Säffle!F38+Torsby!F38+Årjäng!F38</f>
        <v>0</v>
      </c>
      <c r="G38" s="73">
        <f>Arvika!G38+Eda!G38+Filipstad!G38+Forshaga!G38+Grums!G38+Hagfors!G38+Hammarö!G38+Karlstad!G38+Kil!G38+Kristinehamn!G38+Munkfors!G38+Storfors!G38+Sunne!G38+Säffle!G38+Torsby!G38+Årjäng!G38</f>
        <v>0</v>
      </c>
      <c r="H38" s="73">
        <f>Arvika!H38+Eda!H38+Filipstad!H38+Forshaga!H38+Grums!H38+Hagfors!H38+Hammarö!H38+Karlstad!H38+Kil!H38+Kristinehamn!H38+Munkfors!H38+Storfors!H38+Sunne!H38+Säffle!H38+Torsby!H38+Årjäng!H38</f>
        <v>0</v>
      </c>
      <c r="I38" s="73">
        <f>Arvika!I38+Eda!I38+Filipstad!I38+Forshaga!I38+Grums!I38+Hagfors!I38+Hammarö!I38+Karlstad!I38+Kil!I38+Kristinehamn!I38+Munkfors!I38+Storfors!I38+Sunne!I38+Säffle!I38+Torsby!I38+Årjäng!I38</f>
        <v>0</v>
      </c>
      <c r="J38" s="73">
        <f>Arvika!J38+Eda!J38+Filipstad!J38+Forshaga!J38+Grums!J38+Hagfors!J38+Hammarö!J38+Karlstad!J38+Kil!J38+Kristinehamn!J38+Munkfors!J38+Storfors!J38+Sunne!J38+Säffle!J38+Torsby!J38+Årjäng!J38</f>
        <v>544496.505</v>
      </c>
      <c r="K38" s="73">
        <f>Arvika!K38+Eda!K38+Filipstad!K38+Forshaga!K38+Grums!K38+Hagfors!K38+Hammarö!K38+Karlstad!K38+Kil!K38+Kristinehamn!K38+Munkfors!K38+Storfors!K38+Sunne!K38+Säffle!K38+Torsby!K38+Årjäng!K38</f>
        <v>146859</v>
      </c>
      <c r="L38" s="71">
        <f t="shared" si="9"/>
        <v>693409.505</v>
      </c>
      <c r="M38" s="100"/>
      <c r="O38" s="6"/>
      <c r="P38" s="6"/>
      <c r="Q38" s="6"/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73">
        <f>Arvika!C39+Eda!C39+Filipstad!C39+Forshaga!C39+Grums!C39+Hagfors!C39+Hammarö!C39+Karlstad!C39+Kil!C39+Kristinehamn!C39+Munkfors!C39+Storfors!C39+Sunne!C39+Säffle!C39+Torsby!C39+Årjäng!C39</f>
        <v>0</v>
      </c>
      <c r="D39" s="73">
        <f>Arvika!D39+Eda!D39+Filipstad!D39+Forshaga!D39+Grums!D39+Hagfors!D39+Hammarö!D39+Karlstad!D39+Kil!D39+Kristinehamn!D39+Munkfors!D39+Storfors!D39+Sunne!D39+Säffle!D39+Torsby!D39+Årjäng!D39</f>
        <v>0</v>
      </c>
      <c r="E39" s="73">
        <f>Arvika!E39+Eda!E39+Filipstad!E39+Forshaga!E39+Grums!E39+Hagfors!E39+Hammarö!E39+Karlstad!E39+Kil!E39+Kristinehamn!E39+Munkfors!E39+Storfors!E39+Sunne!E39+Säffle!E39+Torsby!E39+Årjäng!E39</f>
        <v>0</v>
      </c>
      <c r="F39" s="73">
        <f>Arvika!F39+Eda!F39+Filipstad!F39+Forshaga!F39+Grums!F39+Hagfors!F39+Hammarö!F39+Karlstad!F39+Kil!F39+Kristinehamn!F39+Munkfors!F39+Storfors!F39+Sunne!F39+Säffle!F39+Torsby!F39+Årjäng!F39</f>
        <v>0</v>
      </c>
      <c r="G39" s="73">
        <f>Arvika!G39+Eda!G39+Filipstad!G39+Forshaga!G39+Grums!G39+Hagfors!G39+Hammarö!G39+Karlstad!G39+Kil!G39+Kristinehamn!G39+Munkfors!G39+Storfors!G39+Sunne!G39+Säffle!G39+Torsby!G39+Årjäng!G39</f>
        <v>0</v>
      </c>
      <c r="H39" s="73">
        <f>Arvika!H39+Eda!H39+Filipstad!H39+Forshaga!H39+Grums!H39+Hagfors!H39+Hammarö!H39+Karlstad!H39+Kil!H39+Kristinehamn!H39+Munkfors!H39+Storfors!H39+Sunne!H39+Säffle!H39+Torsby!H39+Årjäng!H39</f>
        <v>0</v>
      </c>
      <c r="I39" s="73">
        <f>Arvika!I39+Eda!I39+Filipstad!I39+Forshaga!I39+Grums!I39+Hagfors!I39+Hammarö!I39+Karlstad!I39+Kil!I39+Kristinehamn!I39+Munkfors!I39+Storfors!I39+Sunne!I39+Säffle!I39+Torsby!I39+Årjäng!I39</f>
        <v>0</v>
      </c>
      <c r="J39" s="73">
        <f>Arvika!J39+Eda!J39+Filipstad!J39+Forshaga!J39+Grums!J39+Hagfors!J39+Hammarö!J39+Karlstad!J39+Kil!J39+Kristinehamn!J39+Munkfors!J39+Storfors!J39+Sunne!J39+Säffle!J39+Torsby!J39+Årjäng!J39</f>
        <v>0</v>
      </c>
      <c r="K39" s="73">
        <f>Arvika!K39+Eda!K39+Filipstad!K39+Forshaga!K39+Grums!K39+Hagfors!K39+Hammarö!K39+Karlstad!K39+Kil!K39+Kristinehamn!K39+Munkfors!K39+Storfors!K39+Sunne!K39+Säffle!K39+Torsby!K39+Årjäng!K39</f>
        <v>80337</v>
      </c>
      <c r="L39" s="71">
        <f t="shared" si="9"/>
        <v>80337</v>
      </c>
      <c r="M39" s="70"/>
      <c r="U39" s="172"/>
    </row>
    <row r="40" spans="2:40" x14ac:dyDescent="0.25">
      <c r="B40" s="19" t="s">
        <v>43</v>
      </c>
      <c r="C40" s="130">
        <f>SUM(C32:C39)</f>
        <v>3667850.05</v>
      </c>
      <c r="D40" s="68">
        <f t="shared" ref="D40:I40" si="10">SUM(D32:D39)</f>
        <v>0</v>
      </c>
      <c r="E40" s="130">
        <f t="shared" si="10"/>
        <v>311554.26233333332</v>
      </c>
      <c r="F40" s="130">
        <f t="shared" si="10"/>
        <v>509537.62932901067</v>
      </c>
      <c r="G40" s="130">
        <f t="shared" si="10"/>
        <v>5062850.8706709892</v>
      </c>
      <c r="H40" s="130">
        <f t="shared" si="10"/>
        <v>2153644.196</v>
      </c>
      <c r="I40" s="130">
        <f t="shared" si="10"/>
        <v>52114.8</v>
      </c>
      <c r="J40" s="210">
        <f t="shared" ref="J40:K40" si="11">SUM(J32:J39)</f>
        <v>1458169.3759999999</v>
      </c>
      <c r="K40" s="210">
        <f t="shared" si="11"/>
        <v>5167342.1308900528</v>
      </c>
      <c r="L40" s="209">
        <f t="shared" si="9"/>
        <v>18383063.315223388</v>
      </c>
      <c r="M40" s="70">
        <f>L40-I35-E35</f>
        <v>18367108.315223388</v>
      </c>
    </row>
    <row r="41" spans="2:40" x14ac:dyDescent="0.25">
      <c r="B41" s="19" t="s">
        <v>44</v>
      </c>
      <c r="C41" s="69">
        <f>SUM(C37:C39)</f>
        <v>23368.5</v>
      </c>
      <c r="D41" s="69">
        <f t="shared" ref="D41:I41" si="12">SUM(D37:D39)</f>
        <v>0</v>
      </c>
      <c r="E41" s="69">
        <f t="shared" si="12"/>
        <v>0</v>
      </c>
      <c r="F41" s="69">
        <f t="shared" si="12"/>
        <v>0</v>
      </c>
      <c r="G41" s="69">
        <f t="shared" si="12"/>
        <v>0</v>
      </c>
      <c r="H41" s="69">
        <f t="shared" si="12"/>
        <v>586380</v>
      </c>
      <c r="I41" s="69">
        <f t="shared" si="12"/>
        <v>0</v>
      </c>
      <c r="J41" s="69">
        <f t="shared" ref="J41:L41" si="13">SUM(J37:J39)</f>
        <v>708273.99</v>
      </c>
      <c r="K41" s="69">
        <f t="shared" si="13"/>
        <v>1123020</v>
      </c>
      <c r="L41" s="69">
        <f t="shared" si="13"/>
        <v>2441042.4899999998</v>
      </c>
      <c r="M41" s="70"/>
    </row>
    <row r="42" spans="2:40" x14ac:dyDescent="0.25">
      <c r="B42" s="24"/>
      <c r="C42" s="20"/>
      <c r="D42" s="20"/>
      <c r="E42" s="20"/>
      <c r="F42" s="20">
        <f>F40+G40</f>
        <v>5572388.5</v>
      </c>
      <c r="G42" s="20"/>
      <c r="H42" s="20"/>
      <c r="I42" s="20"/>
      <c r="J42" s="20"/>
      <c r="K42" s="20"/>
      <c r="L42" s="25"/>
      <c r="M42" s="34"/>
    </row>
    <row r="43" spans="2:40" ht="15.75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6"/>
    </row>
    <row r="45" spans="2:40" x14ac:dyDescent="0.25">
      <c r="E45"/>
      <c r="F45" t="s">
        <v>92</v>
      </c>
      <c r="G45" t="s">
        <v>93</v>
      </c>
      <c r="H45" t="s">
        <v>94</v>
      </c>
      <c r="I45" t="s">
        <v>95</v>
      </c>
      <c r="J45" t="s">
        <v>96</v>
      </c>
      <c r="K45" s="6"/>
      <c r="L45" s="6"/>
    </row>
    <row r="46" spans="2:40" x14ac:dyDescent="0.25">
      <c r="E46" t="s">
        <v>97</v>
      </c>
      <c r="F46">
        <v>11</v>
      </c>
      <c r="G46">
        <v>5385</v>
      </c>
      <c r="H46">
        <v>9.5</v>
      </c>
      <c r="I46">
        <v>1.3</v>
      </c>
      <c r="J46">
        <v>10.8</v>
      </c>
      <c r="K46" s="6"/>
      <c r="L46" s="6"/>
    </row>
    <row r="47" spans="2:40" x14ac:dyDescent="0.25">
      <c r="E47" s="6"/>
      <c r="F47" s="6"/>
      <c r="G47" s="6"/>
      <c r="H47" s="6"/>
      <c r="I47" s="6"/>
      <c r="J47" s="6"/>
      <c r="K47" s="6"/>
      <c r="L47" s="6"/>
    </row>
    <row r="48" spans="2:40" x14ac:dyDescent="0.25">
      <c r="E48" s="6"/>
      <c r="F48" s="6"/>
      <c r="G48" s="6"/>
      <c r="H48" s="6"/>
      <c r="I48" s="6"/>
      <c r="J48" s="6"/>
      <c r="K48" s="6"/>
      <c r="L48" s="6"/>
    </row>
    <row r="49" spans="1:15" x14ac:dyDescent="0.25">
      <c r="A49" s="168"/>
      <c r="B49" s="168"/>
      <c r="D49" s="34"/>
      <c r="E49" s="6" t="s">
        <v>98</v>
      </c>
      <c r="F49" s="6">
        <v>6455</v>
      </c>
      <c r="G49" s="6" t="s">
        <v>99</v>
      </c>
      <c r="H49" t="s">
        <v>102</v>
      </c>
      <c r="I49" s="6"/>
      <c r="J49" s="6"/>
      <c r="K49" s="6"/>
      <c r="L49" s="6"/>
      <c r="M49" s="34"/>
      <c r="O49" s="30"/>
    </row>
    <row r="50" spans="1:15" x14ac:dyDescent="0.25">
      <c r="D50" s="34"/>
      <c r="E50" s="6" t="s">
        <v>101</v>
      </c>
      <c r="F50" s="6">
        <f>F49-F51</f>
        <v>2840.2</v>
      </c>
      <c r="G50" s="6" t="s">
        <v>99</v>
      </c>
      <c r="H50" s="6"/>
      <c r="I50" s="6"/>
      <c r="J50" s="6"/>
      <c r="K50" s="6"/>
      <c r="L50" s="6"/>
      <c r="M50" s="34"/>
    </row>
    <row r="51" spans="1:15" x14ac:dyDescent="0.25">
      <c r="D51" s="34"/>
      <c r="E51" s="7" t="s">
        <v>100</v>
      </c>
      <c r="F51" s="7">
        <f>F49*0.56</f>
        <v>3614.8</v>
      </c>
      <c r="G51" s="6" t="s">
        <v>99</v>
      </c>
      <c r="H51" s="6"/>
      <c r="I51" s="6"/>
      <c r="J51" s="6"/>
      <c r="K51" s="6"/>
      <c r="L51" s="6"/>
      <c r="M51" s="30"/>
      <c r="N51" s="30"/>
      <c r="O51" s="30"/>
    </row>
    <row r="52" spans="1:15" x14ac:dyDescent="0.25">
      <c r="D52" s="34"/>
      <c r="E52" s="34"/>
      <c r="F52" s="34"/>
      <c r="G52" s="34"/>
      <c r="O52" s="30"/>
    </row>
    <row r="53" spans="1:15" x14ac:dyDescent="0.25">
      <c r="D53" s="34"/>
      <c r="E53" s="34"/>
      <c r="F53" s="34"/>
      <c r="G53" s="34"/>
      <c r="O53" s="30"/>
    </row>
    <row r="56" spans="1:15" x14ac:dyDescent="0.25">
      <c r="D56" s="30"/>
      <c r="E56" s="30"/>
      <c r="F56" s="30"/>
      <c r="G56" s="30"/>
      <c r="H56" s="30"/>
    </row>
    <row r="57" spans="1:15" x14ac:dyDescent="0.25">
      <c r="H57" s="30"/>
    </row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7"/>
  <sheetViews>
    <sheetView zoomScale="70" zoomScaleNormal="70" workbookViewId="0">
      <selection activeCell="L20" sqref="L20:M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6.42578125" style="1" bestFit="1" customWidth="1"/>
    <col min="4" max="6" width="13.5703125" style="1" bestFit="1" customWidth="1"/>
    <col min="7" max="7" width="13.5703125" style="1" customWidth="1"/>
    <col min="8" max="8" width="14.85546875" style="1" bestFit="1" customWidth="1"/>
    <col min="9" max="9" width="9.2851562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8" width="9.140625" style="1"/>
    <col min="19" max="19" width="14.85546875" style="1" bestFit="1" customWidth="1"/>
    <col min="20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216">
        <v>18467.759999999998</v>
      </c>
      <c r="D4" s="131">
        <v>0</v>
      </c>
      <c r="E4" s="131">
        <v>0</v>
      </c>
      <c r="F4" s="131">
        <v>0</v>
      </c>
      <c r="G4" s="131"/>
      <c r="H4" s="131">
        <v>322980</v>
      </c>
      <c r="I4" s="131">
        <v>0</v>
      </c>
      <c r="J4" s="216">
        <v>341447.76</v>
      </c>
      <c r="K4" s="132">
        <v>321344</v>
      </c>
      <c r="L4" s="167">
        <f>K4/(K4+K5)</f>
        <v>0.65165476963011026</v>
      </c>
      <c r="M4" s="134">
        <f>J4-K4</f>
        <v>20103.760000000009</v>
      </c>
      <c r="N4" s="1"/>
      <c r="O4" s="6"/>
      <c r="P4" s="6"/>
      <c r="Q4" s="6"/>
      <c r="R4" s="51" t="s">
        <v>105</v>
      </c>
      <c r="S4" s="21">
        <f>L20</f>
        <v>160326.51363485202</v>
      </c>
      <c r="T4" s="171">
        <f>S4/1000</f>
        <v>160.32651363485201</v>
      </c>
      <c r="U4" s="172"/>
      <c r="W4" s="1"/>
    </row>
    <row r="5" spans="2:23" s="7" customFormat="1" x14ac:dyDescent="0.25">
      <c r="B5" s="19" t="s">
        <v>9</v>
      </c>
      <c r="C5" s="131">
        <v>4617</v>
      </c>
      <c r="D5" s="1">
        <v>144824</v>
      </c>
      <c r="E5" s="131">
        <v>0</v>
      </c>
      <c r="F5" s="131">
        <v>21887</v>
      </c>
      <c r="G5" s="131"/>
      <c r="H5" s="1">
        <v>21539</v>
      </c>
      <c r="I5" s="131">
        <v>0</v>
      </c>
      <c r="J5" s="131">
        <v>192867</v>
      </c>
      <c r="K5" s="132">
        <v>171776</v>
      </c>
      <c r="L5" s="167">
        <f>K5/(K4+K5)</f>
        <v>0.34834523036988968</v>
      </c>
      <c r="M5" s="134">
        <f>J5-K5</f>
        <v>21091</v>
      </c>
      <c r="N5" s="1"/>
      <c r="O5" s="6"/>
      <c r="P5" s="6"/>
      <c r="Q5" s="6"/>
      <c r="R5" s="7" t="s">
        <v>106</v>
      </c>
      <c r="S5" s="21">
        <f>IF(K28&gt;0,0,K28)*-1</f>
        <v>690184.52</v>
      </c>
      <c r="T5" s="171">
        <f>S5/1000</f>
        <v>690.18452000000002</v>
      </c>
      <c r="W5" s="1"/>
    </row>
    <row r="6" spans="2:23" s="7" customFormat="1" x14ac:dyDescent="0.25">
      <c r="B6" s="19" t="s">
        <v>10</v>
      </c>
      <c r="C6" s="131">
        <v>0</v>
      </c>
      <c r="D6" s="131">
        <v>0</v>
      </c>
      <c r="E6" s="131">
        <v>0</v>
      </c>
      <c r="F6" s="131">
        <v>0</v>
      </c>
      <c r="G6" s="131"/>
      <c r="H6" s="131">
        <v>0</v>
      </c>
      <c r="I6" s="131">
        <v>0</v>
      </c>
      <c r="J6" s="131">
        <v>0</v>
      </c>
      <c r="K6" s="132">
        <v>0</v>
      </c>
      <c r="L6" s="133"/>
      <c r="M6" s="134"/>
      <c r="N6" s="1"/>
      <c r="O6" s="6"/>
      <c r="P6" s="6"/>
      <c r="Q6" s="6"/>
      <c r="R6" s="51" t="s">
        <v>104</v>
      </c>
      <c r="S6" s="171">
        <f>H10+H20+H40</f>
        <v>504818.64</v>
      </c>
      <c r="T6" s="171">
        <f>S6/1000</f>
        <v>504.81864000000002</v>
      </c>
      <c r="U6" s="172"/>
      <c r="W6" s="1"/>
    </row>
    <row r="7" spans="2:23" s="7" customFormat="1" x14ac:dyDescent="0.25">
      <c r="B7" s="19" t="s">
        <v>11</v>
      </c>
      <c r="C7" s="131">
        <v>0</v>
      </c>
      <c r="D7" s="131">
        <v>0</v>
      </c>
      <c r="E7" s="131">
        <v>0</v>
      </c>
      <c r="F7" s="131">
        <v>0</v>
      </c>
      <c r="G7" s="131"/>
      <c r="H7" s="131">
        <v>0</v>
      </c>
      <c r="I7" s="131">
        <v>0</v>
      </c>
      <c r="J7" s="131">
        <v>0</v>
      </c>
      <c r="K7" s="132">
        <v>0</v>
      </c>
      <c r="L7" s="133"/>
      <c r="M7" s="134"/>
      <c r="N7" s="1"/>
      <c r="O7" s="6"/>
      <c r="P7" s="6"/>
      <c r="Q7" s="6"/>
      <c r="R7" s="51" t="s">
        <v>56</v>
      </c>
      <c r="S7" s="171">
        <f>D10+D20+D40</f>
        <v>144824</v>
      </c>
      <c r="T7" s="171">
        <f>S7/1000</f>
        <v>144.82400000000001</v>
      </c>
      <c r="U7" s="172"/>
      <c r="V7" s="6"/>
      <c r="W7" s="1"/>
    </row>
    <row r="8" spans="2:23" s="7" customFormat="1" x14ac:dyDescent="0.25">
      <c r="B8" s="19" t="s">
        <v>12</v>
      </c>
      <c r="C8" s="131">
        <v>0</v>
      </c>
      <c r="D8" s="131">
        <v>0</v>
      </c>
      <c r="E8" s="131">
        <v>0</v>
      </c>
      <c r="F8" s="131">
        <v>0</v>
      </c>
      <c r="G8" s="131"/>
      <c r="H8" s="131">
        <v>0</v>
      </c>
      <c r="I8" s="131">
        <v>0</v>
      </c>
      <c r="J8" s="131">
        <v>0</v>
      </c>
      <c r="K8" s="132">
        <v>58216</v>
      </c>
      <c r="L8" s="133"/>
      <c r="M8" s="134"/>
      <c r="N8" s="1"/>
      <c r="O8" s="6"/>
      <c r="P8" s="6"/>
      <c r="Q8" s="6"/>
      <c r="R8" s="51" t="s">
        <v>58</v>
      </c>
      <c r="S8" s="171">
        <f>G10+G20+G40</f>
        <v>0</v>
      </c>
      <c r="T8" s="171">
        <f t="shared" ref="T8:T12" si="0">S8/1000</f>
        <v>0</v>
      </c>
      <c r="U8" s="172"/>
      <c r="V8" s="6"/>
      <c r="W8" s="1"/>
    </row>
    <row r="9" spans="2:23" s="7" customFormat="1" x14ac:dyDescent="0.25">
      <c r="B9" s="19" t="s">
        <v>13</v>
      </c>
      <c r="C9" s="131">
        <v>0</v>
      </c>
      <c r="D9" s="131">
        <v>0</v>
      </c>
      <c r="E9" s="131">
        <v>0</v>
      </c>
      <c r="F9" s="131">
        <v>0</v>
      </c>
      <c r="G9" s="131"/>
      <c r="H9" s="131">
        <v>0</v>
      </c>
      <c r="I9" s="131">
        <v>0</v>
      </c>
      <c r="J9" s="131">
        <v>0</v>
      </c>
      <c r="K9" s="132">
        <v>122572</v>
      </c>
      <c r="L9" s="133"/>
      <c r="M9" s="134"/>
      <c r="N9" s="1"/>
      <c r="O9" s="6"/>
      <c r="P9" s="6"/>
      <c r="Q9" s="6"/>
      <c r="R9" s="51" t="s">
        <v>59</v>
      </c>
      <c r="S9" s="171">
        <f>E10+E20+E40</f>
        <v>11279.36</v>
      </c>
      <c r="T9" s="171">
        <f t="shared" si="0"/>
        <v>11.27936</v>
      </c>
      <c r="U9" s="172"/>
      <c r="V9" s="6"/>
      <c r="W9" s="1"/>
    </row>
    <row r="10" spans="2:23" s="7" customFormat="1" x14ac:dyDescent="0.25">
      <c r="B10" s="19" t="s">
        <v>14</v>
      </c>
      <c r="C10" s="205">
        <f t="shared" ref="C10:K10" si="1">SUM(C4:C9)</f>
        <v>23084.76</v>
      </c>
      <c r="D10" s="132">
        <f t="shared" si="1"/>
        <v>144824</v>
      </c>
      <c r="E10" s="132">
        <f t="shared" si="1"/>
        <v>0</v>
      </c>
      <c r="F10" s="132">
        <f t="shared" si="1"/>
        <v>21887</v>
      </c>
      <c r="G10" s="132">
        <f t="shared" si="1"/>
        <v>0</v>
      </c>
      <c r="H10" s="132">
        <f t="shared" si="1"/>
        <v>344519</v>
      </c>
      <c r="I10" s="132">
        <f t="shared" si="1"/>
        <v>0</v>
      </c>
      <c r="J10" s="205">
        <f t="shared" si="1"/>
        <v>534314.76</v>
      </c>
      <c r="K10" s="132">
        <f t="shared" si="1"/>
        <v>673908</v>
      </c>
      <c r="L10" s="133"/>
      <c r="M10" s="134">
        <f>SUM(M4:M9)</f>
        <v>41194.760000000009</v>
      </c>
      <c r="N10" s="1"/>
      <c r="O10" s="6"/>
      <c r="P10" s="6"/>
      <c r="Q10" s="6"/>
      <c r="R10" s="51" t="s">
        <v>25</v>
      </c>
      <c r="S10" s="171">
        <f>I10+I20+I40</f>
        <v>0</v>
      </c>
      <c r="T10" s="171">
        <f t="shared" si="0"/>
        <v>0</v>
      </c>
      <c r="U10" s="172"/>
      <c r="V10" s="6"/>
      <c r="W10" s="1"/>
    </row>
    <row r="11" spans="2:23" s="7" customFormat="1" x14ac:dyDescent="0.25">
      <c r="B11" s="22"/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137"/>
      <c r="N11" s="1"/>
      <c r="O11" s="6"/>
      <c r="P11" s="6"/>
      <c r="Q11" s="6"/>
      <c r="R11" s="51" t="s">
        <v>60</v>
      </c>
      <c r="S11" s="171">
        <f>F10+F20+F40</f>
        <v>119731</v>
      </c>
      <c r="T11" s="171">
        <f t="shared" si="0"/>
        <v>119.73099999999999</v>
      </c>
      <c r="U11" s="172"/>
      <c r="V11" s="6"/>
      <c r="W11" s="1"/>
    </row>
    <row r="12" spans="2:23" s="7" customFormat="1" x14ac:dyDescent="0.25">
      <c r="B12" s="23" t="s">
        <v>15</v>
      </c>
      <c r="C12" s="135"/>
      <c r="D12" s="135"/>
      <c r="E12" s="135"/>
      <c r="F12" s="135"/>
      <c r="G12" s="135"/>
      <c r="H12" s="135"/>
      <c r="I12" s="135"/>
      <c r="J12" s="133"/>
      <c r="K12" s="133">
        <v>0</v>
      </c>
      <c r="L12" s="136"/>
      <c r="M12" s="137"/>
      <c r="N12" s="1"/>
      <c r="O12" s="6"/>
      <c r="P12" s="6"/>
      <c r="Q12" s="6"/>
      <c r="R12" s="51" t="s">
        <v>61</v>
      </c>
      <c r="S12" s="171">
        <f>C10+C20+C40</f>
        <v>1115848.76</v>
      </c>
      <c r="T12" s="171">
        <f t="shared" si="0"/>
        <v>1115.8487600000001</v>
      </c>
      <c r="U12" s="172"/>
      <c r="V12" s="6"/>
      <c r="W12" s="1"/>
    </row>
    <row r="13" spans="2:23" x14ac:dyDescent="0.25">
      <c r="B13" s="2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8"/>
      <c r="N13" s="6"/>
      <c r="R13" s="173" t="s">
        <v>108</v>
      </c>
      <c r="S13" s="171">
        <f>SUM(S4:S12)</f>
        <v>2747012.7936348524</v>
      </c>
      <c r="T13" s="171">
        <f>SUM(T4:T12)</f>
        <v>2747.0127936348522</v>
      </c>
      <c r="U13" s="172"/>
    </row>
    <row r="14" spans="2:23" ht="18.75" x14ac:dyDescent="0.3">
      <c r="B14" s="26" t="s">
        <v>16</v>
      </c>
      <c r="C14" s="139"/>
      <c r="D14" s="139"/>
      <c r="E14" s="139"/>
      <c r="F14" s="139"/>
      <c r="G14" s="139"/>
      <c r="H14" s="139"/>
      <c r="I14" s="139"/>
      <c r="J14" s="139"/>
      <c r="K14" s="159" t="s">
        <v>17</v>
      </c>
      <c r="L14" s="140" t="s">
        <v>18</v>
      </c>
      <c r="M14" s="141"/>
      <c r="N14" s="27" t="s">
        <v>19</v>
      </c>
      <c r="O14" s="28"/>
      <c r="R14" t="s">
        <v>109</v>
      </c>
      <c r="S14" s="59">
        <f>K8</f>
        <v>58216</v>
      </c>
      <c r="T14" s="59">
        <f>S14/1000</f>
        <v>58.216000000000001</v>
      </c>
      <c r="U14" s="172"/>
      <c r="V14"/>
    </row>
    <row r="15" spans="2:23" x14ac:dyDescent="0.25">
      <c r="B15" s="19" t="s">
        <v>20</v>
      </c>
      <c r="C15" s="132">
        <v>3709</v>
      </c>
      <c r="D15" s="132">
        <v>0</v>
      </c>
      <c r="E15" s="132">
        <v>0</v>
      </c>
      <c r="F15" s="132">
        <v>0</v>
      </c>
      <c r="G15" s="132">
        <v>0</v>
      </c>
      <c r="H15" s="132">
        <v>70496</v>
      </c>
      <c r="I15" s="132">
        <v>0</v>
      </c>
      <c r="J15" s="132">
        <v>74205</v>
      </c>
      <c r="K15" s="132">
        <v>71212</v>
      </c>
      <c r="L15" s="142">
        <f>K15/(1-N15)</f>
        <v>73414.432989690729</v>
      </c>
      <c r="M15" s="143">
        <f>J15-L15</f>
        <v>790.5670103092707</v>
      </c>
      <c r="N15" s="29">
        <v>0.03</v>
      </c>
      <c r="P15" s="30"/>
      <c r="R15" t="s">
        <v>110</v>
      </c>
      <c r="S15" s="59">
        <f>K9</f>
        <v>122572</v>
      </c>
      <c r="T15" s="59">
        <f t="shared" ref="T15:T16" si="2">S15/1000</f>
        <v>122.572</v>
      </c>
      <c r="U15" s="172"/>
      <c r="V15"/>
    </row>
    <row r="16" spans="2:23" x14ac:dyDescent="0.25">
      <c r="B16" s="19" t="s">
        <v>21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42">
        <f>K16/(1-N16)</f>
        <v>0</v>
      </c>
      <c r="M16" s="143">
        <f>J16-L16</f>
        <v>0</v>
      </c>
      <c r="N16" s="29">
        <v>0.03</v>
      </c>
      <c r="P16" s="30"/>
      <c r="R16" t="s">
        <v>111</v>
      </c>
      <c r="S16" s="59">
        <f>K6+K7</f>
        <v>0</v>
      </c>
      <c r="T16" s="59">
        <f t="shared" si="2"/>
        <v>0</v>
      </c>
      <c r="U16" s="172"/>
      <c r="V16" s="6"/>
    </row>
    <row r="17" spans="2:23" x14ac:dyDescent="0.25">
      <c r="B17" s="19" t="s">
        <v>22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42">
        <f>K17/(1-N17)</f>
        <v>0</v>
      </c>
      <c r="M17" s="143">
        <f>J17-L17</f>
        <v>0</v>
      </c>
      <c r="N17" s="29">
        <v>0.03</v>
      </c>
      <c r="P17" s="30"/>
      <c r="R17" t="s">
        <v>112</v>
      </c>
      <c r="S17" s="59">
        <f>SUM(S13:S16)</f>
        <v>2927800.7936348524</v>
      </c>
      <c r="T17" s="59">
        <f>SUM(T13:T16)</f>
        <v>2927.8007936348522</v>
      </c>
      <c r="U17" s="172"/>
      <c r="V17" s="6"/>
      <c r="W17" s="6"/>
    </row>
    <row r="18" spans="2:23" x14ac:dyDescent="0.25">
      <c r="B18" s="19" t="s">
        <v>23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23694</v>
      </c>
      <c r="L18" s="142">
        <f>K18/(1-N18)</f>
        <v>23885.080645161292</v>
      </c>
      <c r="M18" s="143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63027</v>
      </c>
      <c r="L19" s="142">
        <f>K19/(1-N19)</f>
        <v>63027</v>
      </c>
      <c r="M19" s="143"/>
      <c r="N19" s="1">
        <v>0</v>
      </c>
      <c r="P19" s="30"/>
      <c r="R19" s="19" t="s">
        <v>113</v>
      </c>
      <c r="S19" s="21">
        <f>IF(K28&lt;0,0,K28)</f>
        <v>0</v>
      </c>
      <c r="T19" s="171">
        <f t="shared" ref="T19:T25" si="3">S19/1000</f>
        <v>0</v>
      </c>
      <c r="U19"/>
      <c r="V19" s="6"/>
    </row>
    <row r="20" spans="2:23" x14ac:dyDescent="0.25">
      <c r="B20" s="19" t="s">
        <v>14</v>
      </c>
      <c r="C20" s="132">
        <f t="shared" ref="C20:J20" si="4">SUM(C15:C19)</f>
        <v>3709</v>
      </c>
      <c r="D20" s="132">
        <f t="shared" si="4"/>
        <v>0</v>
      </c>
      <c r="E20" s="132">
        <f t="shared" si="4"/>
        <v>0</v>
      </c>
      <c r="F20" s="132">
        <f t="shared" si="4"/>
        <v>0</v>
      </c>
      <c r="G20" s="132">
        <f t="shared" ref="G20" si="5">SUM(G15:G19)</f>
        <v>0</v>
      </c>
      <c r="H20" s="132">
        <f t="shared" si="4"/>
        <v>70496</v>
      </c>
      <c r="I20" s="132">
        <f t="shared" si="4"/>
        <v>0</v>
      </c>
      <c r="J20" s="132">
        <f t="shared" si="4"/>
        <v>74205</v>
      </c>
      <c r="K20" s="132">
        <f>SUM(K15:K19)</f>
        <v>157933</v>
      </c>
      <c r="L20" s="144">
        <f>SUM(L15:L19)</f>
        <v>160326.51363485202</v>
      </c>
      <c r="M20" s="144">
        <f>SUM(M15:M19)</f>
        <v>790.5670103092707</v>
      </c>
      <c r="N20" s="32"/>
      <c r="O20" s="33"/>
      <c r="P20" s="30"/>
      <c r="R20" s="19" t="s">
        <v>35</v>
      </c>
      <c r="S20" s="174">
        <f>L32</f>
        <v>41192</v>
      </c>
      <c r="T20" s="171">
        <f t="shared" si="3"/>
        <v>41.192</v>
      </c>
      <c r="U20"/>
      <c r="V20" s="6"/>
    </row>
    <row r="21" spans="2:23" x14ac:dyDescent="0.25">
      <c r="B21" s="24"/>
      <c r="C21" s="132"/>
      <c r="D21" s="132"/>
      <c r="E21" s="132"/>
      <c r="F21" s="132"/>
      <c r="G21" s="132"/>
      <c r="H21" s="132"/>
      <c r="I21" s="132"/>
      <c r="J21" s="132"/>
      <c r="K21" s="132"/>
      <c r="L21" s="131"/>
      <c r="M21" s="138"/>
      <c r="N21" s="30"/>
      <c r="R21" s="19" t="s">
        <v>36</v>
      </c>
      <c r="S21" s="174">
        <f>L33</f>
        <v>153960</v>
      </c>
      <c r="T21" s="171">
        <f t="shared" si="3"/>
        <v>153.96</v>
      </c>
      <c r="U21" s="172"/>
    </row>
    <row r="22" spans="2:23" x14ac:dyDescent="0.25">
      <c r="B22" s="24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8"/>
      <c r="R22" s="19" t="s">
        <v>37</v>
      </c>
      <c r="S22" s="174">
        <f>L34</f>
        <v>197888</v>
      </c>
      <c r="T22" s="171">
        <f t="shared" si="3"/>
        <v>197.88800000000001</v>
      </c>
      <c r="U22" s="172"/>
    </row>
    <row r="23" spans="2:23" ht="15.75" thickBot="1" x14ac:dyDescent="0.3">
      <c r="B23" s="35" t="s">
        <v>25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R23" s="19" t="s">
        <v>38</v>
      </c>
      <c r="S23" s="174">
        <f>L35</f>
        <v>1070183</v>
      </c>
      <c r="T23" s="171">
        <f t="shared" si="3"/>
        <v>1070.183</v>
      </c>
      <c r="U23" s="172"/>
    </row>
    <row r="24" spans="2:23" x14ac:dyDescent="0.25"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R24" s="19" t="s">
        <v>39</v>
      </c>
      <c r="S24" s="174">
        <f>L36</f>
        <v>490539</v>
      </c>
      <c r="T24" s="171">
        <f t="shared" si="3"/>
        <v>490.53899999999999</v>
      </c>
      <c r="U24" s="172"/>
    </row>
    <row r="25" spans="2:23" ht="15.75" thickBot="1" x14ac:dyDescent="0.3"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R25" s="19" t="s">
        <v>44</v>
      </c>
      <c r="S25" s="174">
        <f>L41</f>
        <v>678777</v>
      </c>
      <c r="T25" s="171">
        <f t="shared" si="3"/>
        <v>678.77700000000004</v>
      </c>
      <c r="U25" s="172"/>
    </row>
    <row r="26" spans="2:23" ht="15.75" thickBot="1" x14ac:dyDescent="0.3">
      <c r="B26" s="8"/>
      <c r="C26" s="147"/>
      <c r="D26" s="147"/>
      <c r="E26" s="147"/>
      <c r="F26" s="147"/>
      <c r="G26" s="147"/>
      <c r="H26" s="147"/>
      <c r="I26" s="131"/>
      <c r="J26" s="148" t="s">
        <v>26</v>
      </c>
      <c r="K26" s="149" t="s">
        <v>27</v>
      </c>
      <c r="L26" s="131"/>
      <c r="M26" s="131"/>
      <c r="N26" s="38" t="s">
        <v>28</v>
      </c>
      <c r="R26" s="19" t="s">
        <v>114</v>
      </c>
      <c r="S26" s="60">
        <f>SUM(S20:S25)</f>
        <v>2632539</v>
      </c>
      <c r="T26" s="60">
        <f>SUM(T20:T25)</f>
        <v>2632.5389999999998</v>
      </c>
      <c r="U26" s="172"/>
    </row>
    <row r="27" spans="2:23" x14ac:dyDescent="0.25">
      <c r="B27" s="39" t="s">
        <v>29</v>
      </c>
      <c r="C27" s="132"/>
      <c r="D27" s="132"/>
      <c r="E27" s="132"/>
      <c r="F27" s="132"/>
      <c r="G27" s="132"/>
      <c r="H27" s="132"/>
      <c r="I27" s="131"/>
      <c r="J27" s="150">
        <f>K10-J40</f>
        <v>114645</v>
      </c>
      <c r="K27" s="134">
        <f>K40*8%</f>
        <v>62823.520000000004</v>
      </c>
      <c r="L27" s="131"/>
      <c r="M27" s="131"/>
      <c r="N27" s="40">
        <f>100-(J40/K10*100)</f>
        <v>17.01196602503606</v>
      </c>
      <c r="R27" s="175" t="s">
        <v>115</v>
      </c>
      <c r="S27" s="176"/>
      <c r="T27" s="177">
        <f t="shared" ref="T27:T34" si="6">S27/1000</f>
        <v>0</v>
      </c>
      <c r="U27" s="172"/>
    </row>
    <row r="28" spans="2:23" ht="15.75" thickBot="1" x14ac:dyDescent="0.3">
      <c r="B28" s="35" t="s">
        <v>30</v>
      </c>
      <c r="C28" s="145"/>
      <c r="D28" s="145"/>
      <c r="E28" s="145"/>
      <c r="F28" s="145"/>
      <c r="G28" s="145"/>
      <c r="H28" s="145"/>
      <c r="I28" s="145"/>
      <c r="J28" s="151">
        <f>J40+J27-K10</f>
        <v>0</v>
      </c>
      <c r="K28" s="95">
        <f>K20-K27-K40</f>
        <v>-690184.52</v>
      </c>
      <c r="L28" s="131"/>
      <c r="M28" s="131"/>
      <c r="N28" s="1" t="str">
        <f>IF(N27&gt;10,"OBS! HÖGA FÖRLUSTER","OK")</f>
        <v>OBS! HÖGA FÖRLUSTER</v>
      </c>
      <c r="R28" s="51" t="s">
        <v>116</v>
      </c>
      <c r="S28" s="52">
        <f>K27</f>
        <v>62823.520000000004</v>
      </c>
      <c r="T28" s="178">
        <f t="shared" si="6"/>
        <v>62.823520000000002</v>
      </c>
      <c r="U28" s="172"/>
    </row>
    <row r="29" spans="2:23" ht="15.75" thickBot="1" x14ac:dyDescent="0.3"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R29" s="51" t="s">
        <v>117</v>
      </c>
      <c r="S29" s="52">
        <f>J27</f>
        <v>114645</v>
      </c>
      <c r="T29" s="178">
        <f t="shared" si="6"/>
        <v>114.645</v>
      </c>
      <c r="U29" s="50"/>
    </row>
    <row r="30" spans="2:23" ht="15.75" thickBot="1" x14ac:dyDescent="0.3">
      <c r="B30" s="8"/>
      <c r="C30" s="152" t="s">
        <v>0</v>
      </c>
      <c r="D30" s="152"/>
      <c r="E30" s="152"/>
      <c r="F30" s="152" t="s">
        <v>1</v>
      </c>
      <c r="G30" s="152"/>
      <c r="H30" s="152"/>
      <c r="I30" s="147"/>
      <c r="J30" s="147"/>
      <c r="K30" s="147"/>
      <c r="L30" s="153"/>
      <c r="M30" s="131"/>
      <c r="R30" s="51" t="s">
        <v>118</v>
      </c>
      <c r="S30" s="52">
        <f>L20-K20</f>
        <v>2393.5136348520173</v>
      </c>
      <c r="T30" s="178">
        <f t="shared" si="6"/>
        <v>2.3935136348520172</v>
      </c>
      <c r="U30" s="55"/>
    </row>
    <row r="31" spans="2:23" ht="30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154" t="s">
        <v>32</v>
      </c>
      <c r="K31" s="154" t="s">
        <v>33</v>
      </c>
      <c r="L31" s="155" t="s">
        <v>34</v>
      </c>
      <c r="M31" s="131"/>
      <c r="R31" s="51" t="s">
        <v>119</v>
      </c>
      <c r="S31" s="52">
        <f>M4</f>
        <v>20103.760000000009</v>
      </c>
      <c r="T31" s="178">
        <f t="shared" si="6"/>
        <v>20.103760000000008</v>
      </c>
      <c r="U31" s="55"/>
    </row>
    <row r="32" spans="2:23" x14ac:dyDescent="0.25">
      <c r="B32" s="19" t="s">
        <v>35</v>
      </c>
      <c r="C32" s="132">
        <v>21152</v>
      </c>
      <c r="D32" s="132">
        <v>0</v>
      </c>
      <c r="E32" s="132">
        <v>0</v>
      </c>
      <c r="F32" s="132">
        <v>2249</v>
      </c>
      <c r="G32" s="132"/>
      <c r="H32" s="132">
        <v>0</v>
      </c>
      <c r="I32" s="132">
        <v>0</v>
      </c>
      <c r="J32" s="132">
        <v>0</v>
      </c>
      <c r="K32" s="132">
        <v>17791</v>
      </c>
      <c r="L32" s="134">
        <f>SUM(C32:K32)</f>
        <v>41192</v>
      </c>
      <c r="M32" s="131"/>
      <c r="R32" s="51" t="s">
        <v>120</v>
      </c>
      <c r="S32" s="52">
        <f>M5</f>
        <v>21091</v>
      </c>
      <c r="T32" s="178">
        <f t="shared" si="6"/>
        <v>21.091000000000001</v>
      </c>
      <c r="U32"/>
    </row>
    <row r="33" spans="2:40" ht="17.25" x14ac:dyDescent="0.4">
      <c r="B33" s="19" t="s">
        <v>36</v>
      </c>
      <c r="C33" s="132">
        <v>22888</v>
      </c>
      <c r="D33" s="132">
        <v>0</v>
      </c>
      <c r="E33" s="156">
        <v>11279.36</v>
      </c>
      <c r="F33" s="132">
        <v>755</v>
      </c>
      <c r="G33" s="132"/>
      <c r="H33" s="156">
        <v>20795.64</v>
      </c>
      <c r="I33" s="132">
        <v>0</v>
      </c>
      <c r="J33" s="132">
        <v>26086</v>
      </c>
      <c r="K33" s="132">
        <v>72156</v>
      </c>
      <c r="L33" s="134">
        <f t="shared" ref="L33:L40" si="7">SUM(C33:K33)</f>
        <v>153960</v>
      </c>
      <c r="M33" s="131"/>
      <c r="R33" s="51" t="s">
        <v>121</v>
      </c>
      <c r="S33" s="52">
        <f>M15</f>
        <v>790.5670103092707</v>
      </c>
      <c r="T33" s="178">
        <f t="shared" si="6"/>
        <v>0.79056701030927068</v>
      </c>
      <c r="U33" s="55"/>
    </row>
    <row r="34" spans="2:40" ht="15.75" thickBot="1" x14ac:dyDescent="0.3">
      <c r="B34" s="19" t="s">
        <v>37</v>
      </c>
      <c r="C34" s="132">
        <v>118</v>
      </c>
      <c r="D34" s="132">
        <v>0</v>
      </c>
      <c r="E34" s="132">
        <v>0</v>
      </c>
      <c r="F34" s="132">
        <v>0</v>
      </c>
      <c r="G34" s="132"/>
      <c r="H34" s="132">
        <v>0</v>
      </c>
      <c r="I34" s="132">
        <v>0</v>
      </c>
      <c r="J34" s="132">
        <v>70857</v>
      </c>
      <c r="K34" s="132">
        <v>126913</v>
      </c>
      <c r="L34" s="134">
        <f t="shared" si="7"/>
        <v>197888</v>
      </c>
      <c r="M34" s="131"/>
      <c r="R34" s="56" t="s">
        <v>122</v>
      </c>
      <c r="S34" s="179">
        <f>M16</f>
        <v>0</v>
      </c>
      <c r="T34" s="180">
        <f t="shared" si="6"/>
        <v>0</v>
      </c>
      <c r="U34" s="55"/>
    </row>
    <row r="35" spans="2:40" x14ac:dyDescent="0.25">
      <c r="B35" s="19" t="s">
        <v>38</v>
      </c>
      <c r="C35" s="132">
        <v>973810</v>
      </c>
      <c r="D35" s="132">
        <v>0</v>
      </c>
      <c r="E35" s="132">
        <v>0</v>
      </c>
      <c r="F35" s="132">
        <v>94840</v>
      </c>
      <c r="G35" s="132"/>
      <c r="H35" s="132">
        <v>0</v>
      </c>
      <c r="I35" s="132">
        <v>0</v>
      </c>
      <c r="J35" s="132">
        <v>0</v>
      </c>
      <c r="K35" s="132">
        <v>1533</v>
      </c>
      <c r="L35" s="134">
        <f t="shared" si="7"/>
        <v>1070183</v>
      </c>
      <c r="M35" s="131"/>
      <c r="R35" s="173" t="s">
        <v>123</v>
      </c>
      <c r="S35" s="181">
        <f>SUM(S28:S34)</f>
        <v>221847.3606451613</v>
      </c>
      <c r="T35" s="182">
        <f>SUM(T28:T34)</f>
        <v>221.84736064516133</v>
      </c>
      <c r="U35" s="55"/>
    </row>
    <row r="36" spans="2:40" x14ac:dyDescent="0.25">
      <c r="B36" s="19" t="s">
        <v>39</v>
      </c>
      <c r="C36" s="212">
        <v>68165</v>
      </c>
      <c r="D36" s="132">
        <v>0</v>
      </c>
      <c r="E36" s="132">
        <v>0</v>
      </c>
      <c r="F36" s="132">
        <v>0</v>
      </c>
      <c r="G36" s="132"/>
      <c r="H36" s="132">
        <v>0</v>
      </c>
      <c r="I36" s="132">
        <v>0</v>
      </c>
      <c r="J36" s="132">
        <v>112531</v>
      </c>
      <c r="K36" s="132">
        <v>309843</v>
      </c>
      <c r="L36" s="134">
        <f t="shared" si="7"/>
        <v>490539</v>
      </c>
      <c r="M36" s="131"/>
      <c r="R36" s="173" t="s">
        <v>124</v>
      </c>
      <c r="S36"/>
      <c r="T36" s="60">
        <f>T26+T35+T19</f>
        <v>2854.3863606451609</v>
      </c>
    </row>
    <row r="37" spans="2:40" ht="17.25" x14ac:dyDescent="0.4">
      <c r="B37" s="19" t="s">
        <v>40</v>
      </c>
      <c r="C37" s="205">
        <v>2783</v>
      </c>
      <c r="D37" s="132">
        <v>0</v>
      </c>
      <c r="E37" s="132">
        <v>0</v>
      </c>
      <c r="F37" s="132">
        <v>0</v>
      </c>
      <c r="G37" s="132"/>
      <c r="H37" s="156">
        <v>69008</v>
      </c>
      <c r="I37" s="132">
        <v>0</v>
      </c>
      <c r="J37" s="132">
        <v>83022</v>
      </c>
      <c r="K37" s="132">
        <v>180420</v>
      </c>
      <c r="L37" s="134">
        <f t="shared" si="7"/>
        <v>335233</v>
      </c>
      <c r="M37" s="131"/>
      <c r="R37" s="1" t="s">
        <v>125</v>
      </c>
      <c r="S37"/>
      <c r="T37" s="183">
        <f>T17-T36</f>
        <v>73.41443298969125</v>
      </c>
      <c r="U37"/>
    </row>
    <row r="38" spans="2:40" x14ac:dyDescent="0.25">
      <c r="B38" s="19" t="s">
        <v>41</v>
      </c>
      <c r="C38" s="132">
        <v>139</v>
      </c>
      <c r="D38" s="132">
        <v>0</v>
      </c>
      <c r="E38" s="132">
        <v>0</v>
      </c>
      <c r="F38" s="132">
        <v>0</v>
      </c>
      <c r="G38" s="132"/>
      <c r="H38" s="132">
        <v>0</v>
      </c>
      <c r="I38" s="132">
        <v>0</v>
      </c>
      <c r="J38" s="132">
        <v>266767</v>
      </c>
      <c r="K38" s="132">
        <v>66527</v>
      </c>
      <c r="L38" s="134">
        <f t="shared" si="7"/>
        <v>333433</v>
      </c>
      <c r="M38" s="157"/>
      <c r="O38" s="6"/>
      <c r="P38" s="6"/>
      <c r="Q38" s="6"/>
      <c r="R38" s="173" t="s">
        <v>124</v>
      </c>
      <c r="S38"/>
      <c r="T38" s="60">
        <f>T28+T37+T21</f>
        <v>290.19795298969126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132">
        <v>0</v>
      </c>
      <c r="D39" s="132">
        <v>0</v>
      </c>
      <c r="E39" s="132">
        <v>0</v>
      </c>
      <c r="F39" s="132">
        <v>0</v>
      </c>
      <c r="G39" s="132"/>
      <c r="H39" s="132">
        <v>0</v>
      </c>
      <c r="I39" s="132">
        <v>0</v>
      </c>
      <c r="J39" s="132">
        <v>0</v>
      </c>
      <c r="K39" s="132">
        <v>10111</v>
      </c>
      <c r="L39" s="134">
        <f t="shared" si="7"/>
        <v>10111</v>
      </c>
      <c r="M39" s="131"/>
      <c r="S39" s="172"/>
      <c r="T39" s="184"/>
      <c r="U39" s="172"/>
    </row>
    <row r="40" spans="2:40" ht="17.25" x14ac:dyDescent="0.4">
      <c r="B40" s="19" t="s">
        <v>43</v>
      </c>
      <c r="C40" s="158">
        <f>SUM(C32:C39)</f>
        <v>1089055</v>
      </c>
      <c r="D40" s="150">
        <f t="shared" ref="D40:K40" si="8">SUM(D32:D39)</f>
        <v>0</v>
      </c>
      <c r="E40" s="158">
        <f t="shared" si="8"/>
        <v>11279.36</v>
      </c>
      <c r="F40" s="150">
        <f t="shared" si="8"/>
        <v>97844</v>
      </c>
      <c r="G40" s="150">
        <f t="shared" ref="G40" si="9">SUM(G32:G39)</f>
        <v>0</v>
      </c>
      <c r="H40" s="158">
        <f t="shared" si="8"/>
        <v>89803.64</v>
      </c>
      <c r="I40" s="150">
        <f t="shared" si="8"/>
        <v>0</v>
      </c>
      <c r="J40" s="150">
        <f t="shared" si="8"/>
        <v>559263</v>
      </c>
      <c r="K40" s="150">
        <f t="shared" si="8"/>
        <v>785294</v>
      </c>
      <c r="L40" s="134">
        <f t="shared" si="7"/>
        <v>2632539</v>
      </c>
      <c r="M40" s="131"/>
    </row>
    <row r="41" spans="2:40" x14ac:dyDescent="0.25">
      <c r="B41" s="19" t="s">
        <v>44</v>
      </c>
      <c r="C41" s="150">
        <f>SUM(C37:C39)</f>
        <v>2922</v>
      </c>
      <c r="D41" s="150">
        <f t="shared" ref="D41:L41" si="10">SUM(D37:D39)</f>
        <v>0</v>
      </c>
      <c r="E41" s="150">
        <f t="shared" si="10"/>
        <v>0</v>
      </c>
      <c r="F41" s="150">
        <f t="shared" si="10"/>
        <v>0</v>
      </c>
      <c r="G41" s="150">
        <f t="shared" ref="G41" si="11">SUM(G37:G39)</f>
        <v>0</v>
      </c>
      <c r="H41" s="150">
        <f t="shared" si="10"/>
        <v>69008</v>
      </c>
      <c r="I41" s="150">
        <f t="shared" si="10"/>
        <v>0</v>
      </c>
      <c r="J41" s="150">
        <f t="shared" si="10"/>
        <v>349789</v>
      </c>
      <c r="K41" s="150">
        <f t="shared" si="10"/>
        <v>257058</v>
      </c>
      <c r="L41" s="150">
        <f t="shared" si="10"/>
        <v>678777</v>
      </c>
      <c r="M41" s="131"/>
    </row>
    <row r="42" spans="2:40" x14ac:dyDescent="0.25">
      <c r="B42" s="24"/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2:40" ht="15.75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6"/>
    </row>
    <row r="46" spans="2:40" x14ac:dyDescent="0.25">
      <c r="F46" s="30"/>
      <c r="G46" s="30"/>
    </row>
    <row r="47" spans="2:40" x14ac:dyDescent="0.25">
      <c r="F47" s="30"/>
      <c r="G47" s="30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7"/>
  <sheetViews>
    <sheetView zoomScale="70" zoomScaleNormal="70" workbookViewId="0">
      <selection activeCell="L20" sqref="L20:M20"/>
    </sheetView>
  </sheetViews>
  <sheetFormatPr defaultRowHeight="15" x14ac:dyDescent="0.25"/>
  <cols>
    <col min="1" max="1" width="9.140625" style="1"/>
    <col min="2" max="2" width="44.7109375" style="1" bestFit="1" customWidth="1"/>
    <col min="3" max="4" width="13.5703125" style="1" bestFit="1" customWidth="1"/>
    <col min="5" max="5" width="9.28515625" style="1" bestFit="1" customWidth="1"/>
    <col min="6" max="6" width="12.42578125" style="1" bestFit="1" customWidth="1"/>
    <col min="7" max="7" width="12.42578125" style="1" customWidth="1"/>
    <col min="8" max="8" width="13.5703125" style="1" bestFit="1" customWidth="1"/>
    <col min="9" max="9" width="9.2851562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6" style="1" bestFit="1" customWidth="1"/>
    <col min="19" max="19" width="13.140625" style="1" bestFit="1" customWidth="1"/>
    <col min="20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131">
        <v>0</v>
      </c>
      <c r="D4" s="131">
        <v>0</v>
      </c>
      <c r="E4" s="131">
        <v>0</v>
      </c>
      <c r="F4" s="131">
        <v>0</v>
      </c>
      <c r="G4" s="131">
        <v>0</v>
      </c>
      <c r="H4" s="131">
        <v>0</v>
      </c>
      <c r="I4" s="131">
        <v>0</v>
      </c>
      <c r="J4" s="131">
        <v>0</v>
      </c>
      <c r="K4" s="132">
        <v>0</v>
      </c>
      <c r="L4" s="167">
        <f>K4/(K4+K5)</f>
        <v>0</v>
      </c>
      <c r="M4" s="134">
        <f>J4-K4</f>
        <v>0</v>
      </c>
      <c r="N4" s="1"/>
      <c r="O4" s="6"/>
      <c r="P4" s="6"/>
      <c r="Q4" s="6"/>
      <c r="R4" s="51" t="s">
        <v>105</v>
      </c>
      <c r="S4" s="21">
        <f>L20</f>
        <v>20001.008064516129</v>
      </c>
      <c r="T4" s="171">
        <f>S4/1000</f>
        <v>20.001008064516128</v>
      </c>
      <c r="U4" s="172"/>
      <c r="W4" s="1"/>
    </row>
    <row r="5" spans="2:23" s="7" customFormat="1" x14ac:dyDescent="0.25">
      <c r="B5" s="19" t="s">
        <v>9</v>
      </c>
      <c r="C5" s="131">
        <v>846</v>
      </c>
      <c r="D5" s="221">
        <v>44500</v>
      </c>
      <c r="E5" s="131">
        <v>0</v>
      </c>
      <c r="F5" s="131">
        <v>0</v>
      </c>
      <c r="G5" s="131">
        <v>0</v>
      </c>
      <c r="H5" s="221">
        <v>5391</v>
      </c>
      <c r="I5" s="131">
        <v>0</v>
      </c>
      <c r="J5" s="131">
        <v>50737</v>
      </c>
      <c r="K5" s="132">
        <v>46722</v>
      </c>
      <c r="L5" s="167">
        <f>K5/(K4+K5)</f>
        <v>1</v>
      </c>
      <c r="M5" s="134">
        <f>J5-K5</f>
        <v>4015</v>
      </c>
      <c r="N5" s="1"/>
      <c r="O5" s="6"/>
      <c r="P5" s="6"/>
      <c r="Q5" s="6"/>
      <c r="R5" s="7" t="s">
        <v>106</v>
      </c>
      <c r="S5" s="21">
        <f>IF(K28&gt;0,0,K28)*-1</f>
        <v>118113.88</v>
      </c>
      <c r="T5" s="171">
        <f>S5/1000</f>
        <v>118.11388000000001</v>
      </c>
      <c r="W5" s="1"/>
    </row>
    <row r="6" spans="2:23" s="7" customFormat="1" x14ac:dyDescent="0.25">
      <c r="B6" s="19" t="s">
        <v>10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131">
        <v>0</v>
      </c>
      <c r="J6" s="131">
        <v>0</v>
      </c>
      <c r="K6" s="132">
        <v>0</v>
      </c>
      <c r="L6" s="133"/>
      <c r="M6" s="134"/>
      <c r="N6" s="1"/>
      <c r="O6" s="6"/>
      <c r="P6" s="6"/>
      <c r="Q6" s="6"/>
      <c r="R6" s="51" t="s">
        <v>104</v>
      </c>
      <c r="S6" s="171">
        <f>H10+H20+H40</f>
        <v>40798</v>
      </c>
      <c r="T6" s="171">
        <f>S6/1000</f>
        <v>40.798000000000002</v>
      </c>
      <c r="U6" s="172"/>
      <c r="W6" s="1"/>
    </row>
    <row r="7" spans="2:23" s="7" customFormat="1" x14ac:dyDescent="0.25">
      <c r="B7" s="19" t="s">
        <v>11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2">
        <v>0</v>
      </c>
      <c r="L7" s="133"/>
      <c r="M7" s="134"/>
      <c r="N7" s="1"/>
      <c r="O7" s="6"/>
      <c r="P7" s="6"/>
      <c r="Q7" s="6"/>
      <c r="R7" s="51" t="s">
        <v>56</v>
      </c>
      <c r="S7" s="171">
        <f>D10+D20+D40</f>
        <v>44500</v>
      </c>
      <c r="T7" s="171">
        <f>S7/1000</f>
        <v>44.5</v>
      </c>
      <c r="U7" s="172"/>
      <c r="V7" s="6"/>
      <c r="W7" s="1"/>
    </row>
    <row r="8" spans="2:23" s="7" customFormat="1" x14ac:dyDescent="0.25">
      <c r="B8" s="19" t="s">
        <v>12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2">
        <v>0</v>
      </c>
      <c r="L8" s="133"/>
      <c r="M8" s="134"/>
      <c r="N8" s="1"/>
      <c r="O8" s="6"/>
      <c r="P8" s="6"/>
      <c r="Q8" s="6"/>
      <c r="R8" s="51" t="s">
        <v>58</v>
      </c>
      <c r="S8" s="171">
        <f>G10+G20+G40</f>
        <v>0</v>
      </c>
      <c r="T8" s="171">
        <f t="shared" ref="T8:T12" si="0">S8/1000</f>
        <v>0</v>
      </c>
      <c r="U8" s="172"/>
      <c r="V8" s="6"/>
      <c r="W8" s="1"/>
    </row>
    <row r="9" spans="2:23" s="7" customFormat="1" x14ac:dyDescent="0.25">
      <c r="B9" s="19" t="s">
        <v>13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2">
        <v>0</v>
      </c>
      <c r="L9" s="133"/>
      <c r="M9" s="134"/>
      <c r="N9" s="1"/>
      <c r="O9" s="6"/>
      <c r="P9" s="6"/>
      <c r="Q9" s="6"/>
      <c r="R9" s="51" t="s">
        <v>59</v>
      </c>
      <c r="S9" s="171">
        <f>E10+E20+E40</f>
        <v>0</v>
      </c>
      <c r="T9" s="171">
        <f t="shared" si="0"/>
        <v>0</v>
      </c>
      <c r="U9" s="172"/>
      <c r="V9" s="6"/>
      <c r="W9" s="1"/>
    </row>
    <row r="10" spans="2:23" s="7" customFormat="1" x14ac:dyDescent="0.25">
      <c r="B10" s="19" t="s">
        <v>14</v>
      </c>
      <c r="C10" s="132">
        <f t="shared" ref="C10:K10" si="1">SUM(C4:C9)</f>
        <v>846</v>
      </c>
      <c r="D10" s="205">
        <f t="shared" si="1"/>
        <v>44500</v>
      </c>
      <c r="E10" s="132">
        <f t="shared" si="1"/>
        <v>0</v>
      </c>
      <c r="F10" s="132">
        <f t="shared" si="1"/>
        <v>0</v>
      </c>
      <c r="G10" s="132">
        <f t="shared" ref="G10" si="2">SUM(G4:G9)</f>
        <v>0</v>
      </c>
      <c r="H10" s="205">
        <f t="shared" si="1"/>
        <v>5391</v>
      </c>
      <c r="I10" s="132">
        <f t="shared" si="1"/>
        <v>0</v>
      </c>
      <c r="J10" s="132">
        <f t="shared" si="1"/>
        <v>50737</v>
      </c>
      <c r="K10" s="132">
        <f t="shared" si="1"/>
        <v>46722</v>
      </c>
      <c r="L10" s="133"/>
      <c r="M10" s="134">
        <f>SUM(M4:M9)</f>
        <v>4015</v>
      </c>
      <c r="N10" s="1"/>
      <c r="O10" s="6"/>
      <c r="P10" s="6"/>
      <c r="Q10" s="6"/>
      <c r="R10" s="51" t="s">
        <v>25</v>
      </c>
      <c r="S10" s="171">
        <f>I10+I20+I40</f>
        <v>0</v>
      </c>
      <c r="T10" s="171">
        <f t="shared" si="0"/>
        <v>0</v>
      </c>
      <c r="U10" s="172"/>
      <c r="V10" s="6"/>
      <c r="W10" s="1"/>
    </row>
    <row r="11" spans="2:23" s="7" customFormat="1" x14ac:dyDescent="0.25">
      <c r="B11" s="22"/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137"/>
      <c r="N11" s="1"/>
      <c r="O11" s="6"/>
      <c r="P11" s="6"/>
      <c r="Q11" s="6"/>
      <c r="R11" s="51" t="s">
        <v>60</v>
      </c>
      <c r="S11" s="171">
        <f>F10+F20+F40</f>
        <v>7514</v>
      </c>
      <c r="T11" s="171">
        <f t="shared" si="0"/>
        <v>7.5140000000000002</v>
      </c>
      <c r="U11" s="172"/>
      <c r="V11" s="6"/>
      <c r="W11" s="1"/>
    </row>
    <row r="12" spans="2:23" s="7" customFormat="1" x14ac:dyDescent="0.25">
      <c r="B12" s="23" t="s">
        <v>15</v>
      </c>
      <c r="C12" s="135"/>
      <c r="D12" s="135"/>
      <c r="E12" s="135"/>
      <c r="F12" s="135"/>
      <c r="G12" s="135"/>
      <c r="H12" s="135"/>
      <c r="I12" s="135"/>
      <c r="J12" s="133"/>
      <c r="K12" s="133">
        <v>0</v>
      </c>
      <c r="L12" s="136"/>
      <c r="M12" s="137"/>
      <c r="N12" s="1"/>
      <c r="O12" s="6"/>
      <c r="P12" s="6"/>
      <c r="Q12" s="6"/>
      <c r="R12" s="51" t="s">
        <v>61</v>
      </c>
      <c r="S12" s="171">
        <f>C10+C20+C40</f>
        <v>84369</v>
      </c>
      <c r="T12" s="171">
        <f t="shared" si="0"/>
        <v>84.369</v>
      </c>
      <c r="U12" s="172"/>
      <c r="V12" s="6"/>
      <c r="W12" s="1"/>
    </row>
    <row r="13" spans="2:23" x14ac:dyDescent="0.25">
      <c r="B13" s="2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8"/>
      <c r="N13" s="6"/>
      <c r="R13" s="173" t="s">
        <v>108</v>
      </c>
      <c r="S13" s="171">
        <f>SUM(S4:S12)</f>
        <v>315295.88806451613</v>
      </c>
      <c r="T13" s="171">
        <f>SUM(T4:T12)</f>
        <v>315.29588806451613</v>
      </c>
      <c r="U13" s="172"/>
    </row>
    <row r="14" spans="2:23" ht="18.75" x14ac:dyDescent="0.3">
      <c r="B14" s="26" t="s">
        <v>16</v>
      </c>
      <c r="C14" s="139"/>
      <c r="D14" s="139"/>
      <c r="E14" s="139"/>
      <c r="F14" s="139"/>
      <c r="G14" s="139"/>
      <c r="H14" s="139"/>
      <c r="I14" s="139"/>
      <c r="J14" s="139"/>
      <c r="K14" s="159" t="s">
        <v>17</v>
      </c>
      <c r="L14" s="140" t="s">
        <v>18</v>
      </c>
      <c r="M14" s="141"/>
      <c r="N14" s="27" t="s">
        <v>19</v>
      </c>
      <c r="O14" s="28"/>
      <c r="R14" t="s">
        <v>109</v>
      </c>
      <c r="S14" s="59">
        <f>K8</f>
        <v>0</v>
      </c>
      <c r="T14" s="59">
        <f>S14/1000</f>
        <v>0</v>
      </c>
      <c r="U14" s="172"/>
      <c r="V14"/>
    </row>
    <row r="15" spans="2:23" x14ac:dyDescent="0.25">
      <c r="B15" s="19" t="s">
        <v>20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42">
        <f>K15/(1-N15)</f>
        <v>0</v>
      </c>
      <c r="M15" s="143">
        <f>J15-L15</f>
        <v>0</v>
      </c>
      <c r="N15" s="29">
        <v>0.03</v>
      </c>
      <c r="P15" s="30"/>
      <c r="R15" t="s">
        <v>110</v>
      </c>
      <c r="S15" s="59">
        <f>K9</f>
        <v>0</v>
      </c>
      <c r="T15" s="59">
        <f t="shared" ref="T15:T16" si="3">S15/1000</f>
        <v>0</v>
      </c>
      <c r="U15" s="172"/>
      <c r="V15"/>
    </row>
    <row r="16" spans="2:23" x14ac:dyDescent="0.25">
      <c r="B16" s="19" t="s">
        <v>21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42">
        <f>K16/(1-N16)</f>
        <v>0</v>
      </c>
      <c r="M16" s="143">
        <f>J16-L16</f>
        <v>0</v>
      </c>
      <c r="N16" s="29">
        <v>0.03</v>
      </c>
      <c r="P16" s="30"/>
      <c r="R16" t="s">
        <v>111</v>
      </c>
      <c r="S16" s="59">
        <f>K6+K7</f>
        <v>0</v>
      </c>
      <c r="T16" s="59">
        <f t="shared" si="3"/>
        <v>0</v>
      </c>
      <c r="U16" s="172"/>
      <c r="V16" s="6"/>
    </row>
    <row r="17" spans="2:23" x14ac:dyDescent="0.25">
      <c r="B17" s="19" t="s">
        <v>22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42">
        <f>K17/(1-N17)</f>
        <v>0</v>
      </c>
      <c r="M17" s="143">
        <f>J17-L17</f>
        <v>0</v>
      </c>
      <c r="N17" s="29">
        <v>0.03</v>
      </c>
      <c r="P17" s="30"/>
      <c r="R17" t="s">
        <v>112</v>
      </c>
      <c r="S17" s="59">
        <f>SUM(S13:S16)</f>
        <v>315295.88806451613</v>
      </c>
      <c r="T17" s="59">
        <f>SUM(T13:T16)</f>
        <v>315.29588806451613</v>
      </c>
      <c r="U17" s="172"/>
      <c r="V17" s="6"/>
      <c r="W17" s="6"/>
    </row>
    <row r="18" spans="2:23" x14ac:dyDescent="0.25">
      <c r="B18" s="19" t="s">
        <v>23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19841</v>
      </c>
      <c r="L18" s="142">
        <f>K18/(1-N18)</f>
        <v>20001.008064516129</v>
      </c>
      <c r="M18" s="143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42">
        <f>K19/(1-N19)</f>
        <v>0</v>
      </c>
      <c r="M19" s="143"/>
      <c r="N19" s="1">
        <v>0</v>
      </c>
      <c r="P19" s="30"/>
      <c r="R19" s="19" t="s">
        <v>113</v>
      </c>
      <c r="S19" s="21">
        <f>IF(K28&lt;0,0,K28)</f>
        <v>0</v>
      </c>
      <c r="T19" s="171">
        <f t="shared" ref="T19:T25" si="4">S19/1000</f>
        <v>0</v>
      </c>
      <c r="U19"/>
      <c r="V19" s="6"/>
    </row>
    <row r="20" spans="2:23" x14ac:dyDescent="0.25">
      <c r="B20" s="19" t="s">
        <v>14</v>
      </c>
      <c r="C20" s="132">
        <f t="shared" ref="C20:J20" si="5">SUM(C15:C19)</f>
        <v>0</v>
      </c>
      <c r="D20" s="132">
        <f t="shared" si="5"/>
        <v>0</v>
      </c>
      <c r="E20" s="132">
        <f t="shared" si="5"/>
        <v>0</v>
      </c>
      <c r="F20" s="132">
        <f t="shared" si="5"/>
        <v>0</v>
      </c>
      <c r="G20" s="132">
        <f t="shared" ref="G20" si="6">SUM(G15:G19)</f>
        <v>0</v>
      </c>
      <c r="H20" s="132">
        <f t="shared" si="5"/>
        <v>0</v>
      </c>
      <c r="I20" s="132">
        <f t="shared" si="5"/>
        <v>0</v>
      </c>
      <c r="J20" s="132">
        <f t="shared" si="5"/>
        <v>0</v>
      </c>
      <c r="K20" s="132">
        <f>SUM(K15:K19)</f>
        <v>19841</v>
      </c>
      <c r="L20" s="144">
        <f>SUM(L15:L19)</f>
        <v>20001.008064516129</v>
      </c>
      <c r="M20" s="144">
        <f>SUM(M15:M19)</f>
        <v>0</v>
      </c>
      <c r="N20" s="32"/>
      <c r="O20" s="33"/>
      <c r="P20" s="30"/>
      <c r="R20" s="19" t="s">
        <v>35</v>
      </c>
      <c r="S20" s="174">
        <f>L32</f>
        <v>13790</v>
      </c>
      <c r="T20" s="171">
        <f t="shared" si="4"/>
        <v>13.79</v>
      </c>
      <c r="U20"/>
      <c r="V20" s="6"/>
    </row>
    <row r="21" spans="2:23" x14ac:dyDescent="0.25">
      <c r="B21" s="24"/>
      <c r="C21" s="132"/>
      <c r="D21" s="132"/>
      <c r="E21" s="132"/>
      <c r="F21" s="132"/>
      <c r="G21" s="132"/>
      <c r="H21" s="132"/>
      <c r="I21" s="132"/>
      <c r="J21" s="132"/>
      <c r="K21" s="132"/>
      <c r="L21" s="131"/>
      <c r="M21" s="138"/>
      <c r="N21" s="30"/>
      <c r="R21" s="19" t="s">
        <v>36</v>
      </c>
      <c r="S21" s="174">
        <f>L33</f>
        <v>15778</v>
      </c>
      <c r="T21" s="171">
        <f t="shared" si="4"/>
        <v>15.778</v>
      </c>
      <c r="U21" s="172"/>
    </row>
    <row r="22" spans="2:23" x14ac:dyDescent="0.25">
      <c r="B22" s="24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8"/>
      <c r="R22" s="19" t="s">
        <v>37</v>
      </c>
      <c r="S22" s="174">
        <f>L34</f>
        <v>15978</v>
      </c>
      <c r="T22" s="171">
        <f t="shared" si="4"/>
        <v>15.978</v>
      </c>
      <c r="U22" s="172"/>
    </row>
    <row r="23" spans="2:23" ht="15.75" thickBot="1" x14ac:dyDescent="0.3">
      <c r="B23" s="35" t="s">
        <v>25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R23" s="19" t="s">
        <v>38</v>
      </c>
      <c r="S23" s="174">
        <f>L35</f>
        <v>117384</v>
      </c>
      <c r="T23" s="171">
        <f t="shared" si="4"/>
        <v>117.384</v>
      </c>
      <c r="U23" s="172"/>
    </row>
    <row r="24" spans="2:23" x14ac:dyDescent="0.25"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R24" s="19" t="s">
        <v>39</v>
      </c>
      <c r="S24" s="174">
        <f>L36</f>
        <v>19321</v>
      </c>
      <c r="T24" s="171">
        <f t="shared" si="4"/>
        <v>19.321000000000002</v>
      </c>
      <c r="U24" s="172"/>
    </row>
    <row r="25" spans="2:23" ht="15.75" thickBot="1" x14ac:dyDescent="0.3"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R25" s="19" t="s">
        <v>44</v>
      </c>
      <c r="S25" s="174">
        <f>L41</f>
        <v>108156</v>
      </c>
      <c r="T25" s="171">
        <f t="shared" si="4"/>
        <v>108.15600000000001</v>
      </c>
      <c r="U25" s="172"/>
    </row>
    <row r="26" spans="2:23" ht="15.75" thickBot="1" x14ac:dyDescent="0.3">
      <c r="B26" s="8"/>
      <c r="C26" s="147"/>
      <c r="D26" s="147"/>
      <c r="E26" s="147"/>
      <c r="F26" s="147"/>
      <c r="G26" s="147"/>
      <c r="H26" s="147"/>
      <c r="I26" s="131"/>
      <c r="J26" s="148" t="s">
        <v>26</v>
      </c>
      <c r="K26" s="149" t="s">
        <v>27</v>
      </c>
      <c r="L26" s="131"/>
      <c r="M26" s="131"/>
      <c r="N26" s="38" t="s">
        <v>28</v>
      </c>
      <c r="R26" s="19" t="s">
        <v>114</v>
      </c>
      <c r="S26" s="60">
        <f>SUM(S20:S25)</f>
        <v>290407</v>
      </c>
      <c r="T26" s="60">
        <f>SUM(T20:T25)</f>
        <v>290.40700000000004</v>
      </c>
      <c r="U26" s="172"/>
    </row>
    <row r="27" spans="2:23" x14ac:dyDescent="0.25">
      <c r="B27" s="39" t="s">
        <v>29</v>
      </c>
      <c r="C27" s="132"/>
      <c r="D27" s="132"/>
      <c r="E27" s="132"/>
      <c r="F27" s="132"/>
      <c r="G27" s="132"/>
      <c r="H27" s="132"/>
      <c r="I27" s="131"/>
      <c r="J27" s="150">
        <f>K10-J40</f>
        <v>10495</v>
      </c>
      <c r="K27" s="134">
        <f>K40*8%</f>
        <v>10218.880000000001</v>
      </c>
      <c r="L27" s="131"/>
      <c r="M27" s="131"/>
      <c r="N27" s="40">
        <f>100-(J40/K10*100)</f>
        <v>22.462651427592988</v>
      </c>
      <c r="R27" s="175" t="s">
        <v>115</v>
      </c>
      <c r="S27" s="176"/>
      <c r="T27" s="177">
        <f t="shared" ref="T27:T34" si="7">S27/1000</f>
        <v>0</v>
      </c>
      <c r="U27" s="172"/>
    </row>
    <row r="28" spans="2:23" ht="15.75" thickBot="1" x14ac:dyDescent="0.3">
      <c r="B28" s="35" t="s">
        <v>30</v>
      </c>
      <c r="C28" s="145"/>
      <c r="D28" s="145"/>
      <c r="E28" s="145"/>
      <c r="F28" s="145"/>
      <c r="G28" s="145"/>
      <c r="H28" s="145"/>
      <c r="I28" s="145"/>
      <c r="J28" s="151">
        <f>J40+J27-K10</f>
        <v>0</v>
      </c>
      <c r="K28" s="95">
        <f>K20-K27-K40</f>
        <v>-118113.88</v>
      </c>
      <c r="L28" s="131"/>
      <c r="M28" s="131"/>
      <c r="N28" s="1" t="str">
        <f>IF(N27&gt;10,"OBS! HÖGA FÖRLUSTER","OK")</f>
        <v>OBS! HÖGA FÖRLUSTER</v>
      </c>
      <c r="R28" s="51" t="s">
        <v>116</v>
      </c>
      <c r="S28" s="52">
        <f>K27</f>
        <v>10218.880000000001</v>
      </c>
      <c r="T28" s="178">
        <f t="shared" si="7"/>
        <v>10.21888</v>
      </c>
      <c r="U28" s="172"/>
    </row>
    <row r="29" spans="2:23" ht="15.75" thickBot="1" x14ac:dyDescent="0.3"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R29" s="51" t="s">
        <v>117</v>
      </c>
      <c r="S29" s="52">
        <f>J27</f>
        <v>10495</v>
      </c>
      <c r="T29" s="178">
        <f t="shared" si="7"/>
        <v>10.494999999999999</v>
      </c>
      <c r="U29" s="50"/>
    </row>
    <row r="30" spans="2:23" ht="15.75" thickBot="1" x14ac:dyDescent="0.3">
      <c r="B30" s="8"/>
      <c r="C30" s="152" t="s">
        <v>0</v>
      </c>
      <c r="D30" s="152"/>
      <c r="E30" s="152"/>
      <c r="F30" s="152" t="s">
        <v>1</v>
      </c>
      <c r="G30" s="152"/>
      <c r="H30" s="152"/>
      <c r="I30" s="147"/>
      <c r="J30" s="147"/>
      <c r="K30" s="147"/>
      <c r="L30" s="153"/>
      <c r="M30" s="131"/>
      <c r="R30" s="51" t="s">
        <v>118</v>
      </c>
      <c r="S30" s="52">
        <f>L20-K20</f>
        <v>160.0080645161288</v>
      </c>
      <c r="T30" s="178">
        <f t="shared" si="7"/>
        <v>0.16000806451612878</v>
      </c>
      <c r="U30" s="55"/>
    </row>
    <row r="31" spans="2:23" ht="30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154" t="s">
        <v>32</v>
      </c>
      <c r="K31" s="154" t="s">
        <v>33</v>
      </c>
      <c r="L31" s="155" t="s">
        <v>34</v>
      </c>
      <c r="M31" s="131"/>
      <c r="R31" s="51" t="s">
        <v>119</v>
      </c>
      <c r="S31" s="52">
        <f>M4</f>
        <v>0</v>
      </c>
      <c r="T31" s="178">
        <f t="shared" si="7"/>
        <v>0</v>
      </c>
      <c r="U31" s="55"/>
    </row>
    <row r="32" spans="2:23" ht="17.25" x14ac:dyDescent="0.4">
      <c r="B32" s="19" t="s">
        <v>35</v>
      </c>
      <c r="C32" s="162">
        <v>6065</v>
      </c>
      <c r="D32" s="132">
        <v>0</v>
      </c>
      <c r="E32" s="132">
        <v>0</v>
      </c>
      <c r="F32" s="132">
        <v>790</v>
      </c>
      <c r="G32" s="132"/>
      <c r="H32" s="132">
        <v>0</v>
      </c>
      <c r="I32" s="132">
        <v>0</v>
      </c>
      <c r="J32" s="132">
        <v>0</v>
      </c>
      <c r="K32" s="132">
        <v>6935</v>
      </c>
      <c r="L32" s="163">
        <f>SUM(C32:K32)</f>
        <v>13790</v>
      </c>
      <c r="M32" s="131"/>
      <c r="R32" s="51" t="s">
        <v>120</v>
      </c>
      <c r="S32" s="52">
        <f>M5</f>
        <v>4015</v>
      </c>
      <c r="T32" s="178">
        <f t="shared" si="7"/>
        <v>4.0149999999999997</v>
      </c>
      <c r="U32"/>
    </row>
    <row r="33" spans="2:40" ht="17.25" x14ac:dyDescent="0.4">
      <c r="B33" s="19" t="s">
        <v>36</v>
      </c>
      <c r="C33" s="162">
        <v>2164</v>
      </c>
      <c r="D33" s="132">
        <v>0</v>
      </c>
      <c r="E33" s="132">
        <v>0</v>
      </c>
      <c r="F33" s="132">
        <v>125</v>
      </c>
      <c r="G33" s="132"/>
      <c r="H33" s="164">
        <v>1200</v>
      </c>
      <c r="I33" s="132">
        <v>0</v>
      </c>
      <c r="J33" s="132">
        <v>4200</v>
      </c>
      <c r="K33" s="132">
        <v>8089</v>
      </c>
      <c r="L33" s="134">
        <f t="shared" ref="L33:L40" si="8">SUM(C33:K33)</f>
        <v>15778</v>
      </c>
      <c r="M33" s="131"/>
      <c r="R33" s="51" t="s">
        <v>121</v>
      </c>
      <c r="S33" s="52">
        <f>M15</f>
        <v>0</v>
      </c>
      <c r="T33" s="178">
        <f t="shared" si="7"/>
        <v>0</v>
      </c>
      <c r="U33" s="55"/>
    </row>
    <row r="34" spans="2:40" ht="15.75" thickBot="1" x14ac:dyDescent="0.3">
      <c r="B34" s="19" t="s">
        <v>37</v>
      </c>
      <c r="C34" s="132">
        <v>70</v>
      </c>
      <c r="D34" s="132">
        <v>0</v>
      </c>
      <c r="E34" s="132">
        <v>0</v>
      </c>
      <c r="F34" s="132">
        <v>0</v>
      </c>
      <c r="G34" s="132"/>
      <c r="H34" s="132">
        <v>0</v>
      </c>
      <c r="I34" s="132">
        <v>0</v>
      </c>
      <c r="J34" s="132">
        <v>6300</v>
      </c>
      <c r="K34" s="132">
        <v>9608</v>
      </c>
      <c r="L34" s="134">
        <f t="shared" si="8"/>
        <v>15978</v>
      </c>
      <c r="M34" s="131"/>
      <c r="R34" s="56" t="s">
        <v>122</v>
      </c>
      <c r="S34" s="179">
        <f>M16</f>
        <v>0</v>
      </c>
      <c r="T34" s="180">
        <f t="shared" si="7"/>
        <v>0</v>
      </c>
      <c r="U34" s="55"/>
    </row>
    <row r="35" spans="2:40" x14ac:dyDescent="0.25">
      <c r="B35" s="19" t="s">
        <v>38</v>
      </c>
      <c r="C35" s="132">
        <v>73860</v>
      </c>
      <c r="D35" s="132">
        <v>0</v>
      </c>
      <c r="E35" s="132">
        <v>0</v>
      </c>
      <c r="F35" s="132">
        <v>6599</v>
      </c>
      <c r="G35" s="132"/>
      <c r="H35" s="132">
        <v>0</v>
      </c>
      <c r="I35" s="132">
        <v>0</v>
      </c>
      <c r="J35" s="132">
        <v>0</v>
      </c>
      <c r="K35" s="132">
        <v>36925</v>
      </c>
      <c r="L35" s="134">
        <f t="shared" si="8"/>
        <v>117384</v>
      </c>
      <c r="M35" s="131"/>
      <c r="R35" s="173" t="s">
        <v>123</v>
      </c>
      <c r="S35" s="181">
        <f>SUM(S28:S34)</f>
        <v>24888.88806451613</v>
      </c>
      <c r="T35" s="182">
        <f>SUM(T28:T34)</f>
        <v>24.888888064516127</v>
      </c>
      <c r="U35" s="55"/>
    </row>
    <row r="36" spans="2:40" x14ac:dyDescent="0.25">
      <c r="B36" s="19" t="s">
        <v>39</v>
      </c>
      <c r="C36" s="132">
        <v>672</v>
      </c>
      <c r="D36" s="132">
        <v>0</v>
      </c>
      <c r="E36" s="132">
        <v>0</v>
      </c>
      <c r="F36" s="132">
        <v>0</v>
      </c>
      <c r="G36" s="132"/>
      <c r="H36" s="132">
        <v>0</v>
      </c>
      <c r="I36" s="132">
        <v>0</v>
      </c>
      <c r="J36" s="132">
        <v>600</v>
      </c>
      <c r="K36" s="132">
        <v>18049</v>
      </c>
      <c r="L36" s="134">
        <f t="shared" si="8"/>
        <v>19321</v>
      </c>
      <c r="M36" s="131"/>
      <c r="R36" s="173" t="s">
        <v>124</v>
      </c>
      <c r="S36"/>
      <c r="T36" s="60">
        <f>T26+T35+T19</f>
        <v>315.29588806451619</v>
      </c>
    </row>
    <row r="37" spans="2:40" ht="17.25" x14ac:dyDescent="0.4">
      <c r="B37" s="19" t="s">
        <v>40</v>
      </c>
      <c r="C37" s="132">
        <v>692</v>
      </c>
      <c r="D37" s="132">
        <v>0</v>
      </c>
      <c r="E37" s="132">
        <v>0</v>
      </c>
      <c r="F37" s="132">
        <v>0</v>
      </c>
      <c r="G37" s="132"/>
      <c r="H37" s="164">
        <v>34207</v>
      </c>
      <c r="I37" s="132">
        <v>0</v>
      </c>
      <c r="J37" s="132">
        <v>10700</v>
      </c>
      <c r="K37" s="132">
        <v>41324</v>
      </c>
      <c r="L37" s="163">
        <f t="shared" si="8"/>
        <v>86923</v>
      </c>
      <c r="M37" s="131"/>
      <c r="R37" s="1" t="s">
        <v>125</v>
      </c>
      <c r="S37"/>
      <c r="T37" s="183">
        <f>T17-T36</f>
        <v>0</v>
      </c>
      <c r="U37"/>
    </row>
    <row r="38" spans="2:40" x14ac:dyDescent="0.25">
      <c r="B38" s="19" t="s">
        <v>41</v>
      </c>
      <c r="C38" s="132">
        <v>0</v>
      </c>
      <c r="D38" s="132">
        <v>0</v>
      </c>
      <c r="E38" s="132">
        <v>0</v>
      </c>
      <c r="F38" s="132">
        <v>0</v>
      </c>
      <c r="G38" s="132"/>
      <c r="H38" s="132">
        <v>0</v>
      </c>
      <c r="I38" s="132">
        <v>0</v>
      </c>
      <c r="J38" s="132">
        <v>14427</v>
      </c>
      <c r="K38" s="132">
        <v>3416</v>
      </c>
      <c r="L38" s="134">
        <f t="shared" si="8"/>
        <v>17843</v>
      </c>
      <c r="M38" s="157"/>
      <c r="O38" s="6"/>
      <c r="P38" s="6"/>
      <c r="Q38" s="6"/>
      <c r="R38" s="173" t="s">
        <v>124</v>
      </c>
      <c r="S38"/>
      <c r="T38" s="60">
        <f>T28+T37+T21</f>
        <v>25.996880000000001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132">
        <v>0</v>
      </c>
      <c r="D39" s="132">
        <v>0</v>
      </c>
      <c r="E39" s="132">
        <v>0</v>
      </c>
      <c r="F39" s="132">
        <v>0</v>
      </c>
      <c r="G39" s="132"/>
      <c r="H39" s="132">
        <v>0</v>
      </c>
      <c r="I39" s="132">
        <v>0</v>
      </c>
      <c r="J39" s="132">
        <v>0</v>
      </c>
      <c r="K39" s="132">
        <v>3390</v>
      </c>
      <c r="L39" s="134">
        <f t="shared" si="8"/>
        <v>3390</v>
      </c>
      <c r="M39" s="131"/>
      <c r="S39" s="172"/>
      <c r="T39" s="184"/>
      <c r="U39" s="172"/>
    </row>
    <row r="40" spans="2:40" ht="17.25" x14ac:dyDescent="0.4">
      <c r="B40" s="19" t="s">
        <v>43</v>
      </c>
      <c r="C40" s="160">
        <f>SUM(C32:C39)</f>
        <v>83523</v>
      </c>
      <c r="D40" s="150">
        <f t="shared" ref="D40:K40" si="9">SUM(D32:D39)</f>
        <v>0</v>
      </c>
      <c r="E40" s="150">
        <f t="shared" si="9"/>
        <v>0</v>
      </c>
      <c r="F40" s="150">
        <f t="shared" si="9"/>
        <v>7514</v>
      </c>
      <c r="G40" s="150">
        <f t="shared" ref="G40" si="10">SUM(G32:G39)</f>
        <v>0</v>
      </c>
      <c r="H40" s="161">
        <f t="shared" si="9"/>
        <v>35407</v>
      </c>
      <c r="I40" s="150">
        <f t="shared" si="9"/>
        <v>0</v>
      </c>
      <c r="J40" s="150">
        <f t="shared" si="9"/>
        <v>36227</v>
      </c>
      <c r="K40" s="150">
        <f t="shared" si="9"/>
        <v>127736</v>
      </c>
      <c r="L40" s="134">
        <f t="shared" si="8"/>
        <v>290407</v>
      </c>
      <c r="M40" s="131"/>
    </row>
    <row r="41" spans="2:40" x14ac:dyDescent="0.25">
      <c r="B41" s="19" t="s">
        <v>44</v>
      </c>
      <c r="C41" s="150">
        <f>SUM(C37:C39)</f>
        <v>692</v>
      </c>
      <c r="D41" s="150">
        <f t="shared" ref="D41:L41" si="11">SUM(D37:D39)</f>
        <v>0</v>
      </c>
      <c r="E41" s="150">
        <f t="shared" si="11"/>
        <v>0</v>
      </c>
      <c r="F41" s="150">
        <f t="shared" si="11"/>
        <v>0</v>
      </c>
      <c r="G41" s="150">
        <f t="shared" ref="G41" si="12">SUM(G37:G39)</f>
        <v>0</v>
      </c>
      <c r="H41" s="150">
        <f t="shared" si="11"/>
        <v>34207</v>
      </c>
      <c r="I41" s="150">
        <f t="shared" si="11"/>
        <v>0</v>
      </c>
      <c r="J41" s="150">
        <f t="shared" si="11"/>
        <v>25127</v>
      </c>
      <c r="K41" s="150">
        <f t="shared" si="11"/>
        <v>48130</v>
      </c>
      <c r="L41" s="150">
        <f t="shared" si="11"/>
        <v>108156</v>
      </c>
      <c r="M41" s="131"/>
    </row>
    <row r="42" spans="2:40" x14ac:dyDescent="0.25">
      <c r="B42" s="24"/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2:40" ht="15.75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6"/>
    </row>
    <row r="46" spans="2:40" x14ac:dyDescent="0.25">
      <c r="F46" s="30"/>
    </row>
    <row r="47" spans="2:40" x14ac:dyDescent="0.25">
      <c r="F47" s="30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55"/>
  <sheetViews>
    <sheetView zoomScale="70" zoomScaleNormal="70" workbookViewId="0">
      <selection activeCell="L20" sqref="L20:M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5.85546875" style="1" bestFit="1" customWidth="1"/>
    <col min="4" max="4" width="9.28515625" style="1" bestFit="1" customWidth="1"/>
    <col min="5" max="5" width="15" style="1" bestFit="1" customWidth="1"/>
    <col min="6" max="6" width="16.42578125" style="1" bestFit="1" customWidth="1"/>
    <col min="7" max="7" width="16.42578125" style="1" customWidth="1"/>
    <col min="8" max="8" width="16.42578125" style="1" bestFit="1" customWidth="1"/>
    <col min="9" max="9" width="9.2851562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6" style="1" bestFit="1" customWidth="1"/>
    <col min="19" max="19" width="14.42578125" style="1" bestFit="1" customWidth="1"/>
    <col min="20" max="20" width="10.7109375" style="1" bestFit="1" customWidth="1"/>
    <col min="21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 t="s">
        <v>58</v>
      </c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131">
        <v>0</v>
      </c>
      <c r="D4" s="131">
        <v>0</v>
      </c>
      <c r="E4" s="131">
        <v>0</v>
      </c>
      <c r="F4" s="131">
        <v>0</v>
      </c>
      <c r="G4" s="131"/>
      <c r="H4" s="131">
        <v>0</v>
      </c>
      <c r="I4" s="131">
        <v>0</v>
      </c>
      <c r="J4" s="131">
        <v>0</v>
      </c>
      <c r="K4" s="132">
        <v>0</v>
      </c>
      <c r="L4" s="167">
        <f>K4/(K4+K5)</f>
        <v>0</v>
      </c>
      <c r="M4" s="134">
        <f>J4-K4</f>
        <v>0</v>
      </c>
      <c r="N4" s="1"/>
      <c r="O4" s="6"/>
      <c r="P4" s="6"/>
      <c r="Q4" s="6"/>
      <c r="R4" s="51" t="s">
        <v>105</v>
      </c>
      <c r="S4" s="21">
        <f>L20</f>
        <v>121558.15200554665</v>
      </c>
      <c r="T4" s="171">
        <f>S4/1000</f>
        <v>121.55815200554666</v>
      </c>
      <c r="U4" s="172"/>
      <c r="W4" s="1"/>
    </row>
    <row r="5" spans="2:23" s="7" customFormat="1" x14ac:dyDescent="0.25">
      <c r="B5" s="19" t="s">
        <v>9</v>
      </c>
      <c r="C5" s="131">
        <v>2050</v>
      </c>
      <c r="D5" s="131">
        <v>0</v>
      </c>
      <c r="E5" s="131">
        <v>0</v>
      </c>
      <c r="F5" s="131">
        <v>0</v>
      </c>
      <c r="G5" s="131"/>
      <c r="H5" s="131">
        <v>104800</v>
      </c>
      <c r="I5" s="131">
        <v>0</v>
      </c>
      <c r="J5" s="131">
        <v>106850</v>
      </c>
      <c r="K5" s="132">
        <v>89873</v>
      </c>
      <c r="L5" s="167">
        <f>K5/(K4+K5)</f>
        <v>1</v>
      </c>
      <c r="M5" s="134">
        <f>J5-K5</f>
        <v>16977</v>
      </c>
      <c r="N5" s="1"/>
      <c r="O5" s="6"/>
      <c r="P5" s="6"/>
      <c r="Q5" s="6"/>
      <c r="R5" s="7" t="s">
        <v>106</v>
      </c>
      <c r="S5" s="21">
        <f>IF(K28&gt;0,0,K28)*-1</f>
        <v>429366.87478194921</v>
      </c>
      <c r="T5" s="171">
        <f>S5/1000</f>
        <v>429.36687478194921</v>
      </c>
      <c r="W5" s="1"/>
    </row>
    <row r="6" spans="2:23" s="7" customFormat="1" x14ac:dyDescent="0.25">
      <c r="B6" s="19" t="s">
        <v>10</v>
      </c>
      <c r="C6" s="131">
        <v>0</v>
      </c>
      <c r="D6" s="131">
        <v>0</v>
      </c>
      <c r="E6" s="131">
        <v>0</v>
      </c>
      <c r="F6" s="131">
        <v>0</v>
      </c>
      <c r="G6" s="131"/>
      <c r="H6" s="131">
        <v>0</v>
      </c>
      <c r="I6" s="131">
        <v>0</v>
      </c>
      <c r="J6" s="131">
        <v>0</v>
      </c>
      <c r="K6" s="132">
        <v>0</v>
      </c>
      <c r="L6" s="133"/>
      <c r="M6" s="134"/>
      <c r="N6" s="1"/>
      <c r="O6" s="6"/>
      <c r="P6" s="6"/>
      <c r="Q6" s="6"/>
      <c r="R6" s="51" t="s">
        <v>104</v>
      </c>
      <c r="S6" s="171">
        <f>H10+H20+H40</f>
        <v>336813</v>
      </c>
      <c r="T6" s="171">
        <f>S6/1000</f>
        <v>336.81299999999999</v>
      </c>
      <c r="U6" s="172"/>
      <c r="W6" s="1"/>
    </row>
    <row r="7" spans="2:23" s="7" customFormat="1" x14ac:dyDescent="0.25">
      <c r="B7" s="19" t="s">
        <v>11</v>
      </c>
      <c r="C7" s="131">
        <v>0</v>
      </c>
      <c r="D7" s="131">
        <v>0</v>
      </c>
      <c r="E7" s="131">
        <v>0</v>
      </c>
      <c r="F7" s="131">
        <v>0</v>
      </c>
      <c r="G7" s="131"/>
      <c r="H7" s="131">
        <v>0</v>
      </c>
      <c r="I7" s="131">
        <v>0</v>
      </c>
      <c r="J7" s="131">
        <v>0</v>
      </c>
      <c r="K7" s="132">
        <v>0</v>
      </c>
      <c r="L7" s="133"/>
      <c r="M7" s="134"/>
      <c r="N7" s="1"/>
      <c r="O7" s="6"/>
      <c r="P7" s="6"/>
      <c r="Q7" s="6"/>
      <c r="R7" s="51" t="s">
        <v>56</v>
      </c>
      <c r="S7" s="171">
        <f>D10+D20+D40</f>
        <v>0</v>
      </c>
      <c r="T7" s="171">
        <f>S7/1000</f>
        <v>0</v>
      </c>
      <c r="U7" s="172"/>
      <c r="V7" s="6"/>
      <c r="W7" s="1"/>
    </row>
    <row r="8" spans="2:23" s="7" customFormat="1" x14ac:dyDescent="0.25">
      <c r="B8" s="19" t="s">
        <v>12</v>
      </c>
      <c r="C8" s="131">
        <v>0</v>
      </c>
      <c r="D8" s="131">
        <v>0</v>
      </c>
      <c r="E8" s="131">
        <v>0</v>
      </c>
      <c r="F8" s="131">
        <v>0</v>
      </c>
      <c r="G8" s="131"/>
      <c r="H8" s="131">
        <v>0</v>
      </c>
      <c r="I8" s="131">
        <v>0</v>
      </c>
      <c r="J8" s="131">
        <v>0</v>
      </c>
      <c r="K8" s="132">
        <v>0</v>
      </c>
      <c r="L8" s="133"/>
      <c r="M8" s="134"/>
      <c r="N8" s="1"/>
      <c r="O8" s="6"/>
      <c r="P8" s="6"/>
      <c r="Q8" s="6"/>
      <c r="R8" s="51" t="s">
        <v>58</v>
      </c>
      <c r="S8" s="171">
        <f>G10+G20+G40</f>
        <v>752621.87067098939</v>
      </c>
      <c r="T8" s="171">
        <f t="shared" ref="T8:T12" si="0">S8/1000</f>
        <v>752.62187067098944</v>
      </c>
      <c r="U8" s="172"/>
      <c r="V8" s="6"/>
      <c r="W8" s="1"/>
    </row>
    <row r="9" spans="2:23" s="7" customFormat="1" x14ac:dyDescent="0.25">
      <c r="B9" s="19" t="s">
        <v>13</v>
      </c>
      <c r="C9" s="131">
        <v>0</v>
      </c>
      <c r="D9" s="131">
        <v>0</v>
      </c>
      <c r="E9" s="131">
        <v>0</v>
      </c>
      <c r="F9" s="131">
        <v>0</v>
      </c>
      <c r="G9" s="131"/>
      <c r="H9" s="131">
        <v>0</v>
      </c>
      <c r="I9" s="131">
        <v>0</v>
      </c>
      <c r="J9" s="131">
        <v>0</v>
      </c>
      <c r="K9" s="132">
        <v>25334</v>
      </c>
      <c r="L9" s="133"/>
      <c r="M9" s="134"/>
      <c r="N9" s="1"/>
      <c r="O9" s="6"/>
      <c r="P9" s="6"/>
      <c r="Q9" s="6"/>
      <c r="R9" s="51" t="s">
        <v>59</v>
      </c>
      <c r="S9" s="171">
        <f>E10+E20+E40</f>
        <v>64274.777777777781</v>
      </c>
      <c r="T9" s="171">
        <f t="shared" si="0"/>
        <v>64.274777777777786</v>
      </c>
      <c r="U9" s="172"/>
      <c r="V9" s="6"/>
      <c r="W9" s="1"/>
    </row>
    <row r="10" spans="2:23" s="7" customFormat="1" x14ac:dyDescent="0.25">
      <c r="B10" s="19" t="s">
        <v>14</v>
      </c>
      <c r="C10" s="132">
        <f t="shared" ref="C10:K10" si="1">SUM(C4:C9)</f>
        <v>2050</v>
      </c>
      <c r="D10" s="132">
        <f t="shared" si="1"/>
        <v>0</v>
      </c>
      <c r="E10" s="132">
        <f t="shared" si="1"/>
        <v>0</v>
      </c>
      <c r="F10" s="132">
        <f t="shared" si="1"/>
        <v>0</v>
      </c>
      <c r="G10" s="132"/>
      <c r="H10" s="132">
        <f t="shared" si="1"/>
        <v>104800</v>
      </c>
      <c r="I10" s="132">
        <f t="shared" si="1"/>
        <v>0</v>
      </c>
      <c r="J10" s="132">
        <f t="shared" si="1"/>
        <v>106850</v>
      </c>
      <c r="K10" s="132">
        <f t="shared" si="1"/>
        <v>115207</v>
      </c>
      <c r="L10" s="133"/>
      <c r="M10" s="134">
        <f>SUM(M4:M9)</f>
        <v>16977</v>
      </c>
      <c r="N10" s="1"/>
      <c r="O10" s="6"/>
      <c r="P10" s="6"/>
      <c r="Q10" s="6"/>
      <c r="R10" s="51" t="s">
        <v>25</v>
      </c>
      <c r="S10" s="171">
        <f>I10+I20+I40</f>
        <v>0</v>
      </c>
      <c r="T10" s="171">
        <f t="shared" si="0"/>
        <v>0</v>
      </c>
      <c r="U10" s="172"/>
      <c r="V10" s="6"/>
      <c r="W10" s="1"/>
    </row>
    <row r="11" spans="2:23" s="7" customFormat="1" x14ac:dyDescent="0.25">
      <c r="B11" s="22"/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137"/>
      <c r="N11" s="1"/>
      <c r="O11" s="6"/>
      <c r="P11" s="6"/>
      <c r="Q11" s="6"/>
      <c r="R11" s="51" t="s">
        <v>60</v>
      </c>
      <c r="S11" s="171">
        <f>F10+F20+F40</f>
        <v>93564</v>
      </c>
      <c r="T11" s="171">
        <f t="shared" si="0"/>
        <v>93.563999999999993</v>
      </c>
      <c r="U11" s="172"/>
      <c r="V11" s="6"/>
      <c r="W11" s="1"/>
    </row>
    <row r="12" spans="2:23" s="7" customFormat="1" x14ac:dyDescent="0.25">
      <c r="B12" s="23" t="s">
        <v>15</v>
      </c>
      <c r="C12" s="135"/>
      <c r="D12" s="135"/>
      <c r="E12" s="135"/>
      <c r="F12" s="135"/>
      <c r="G12" s="135"/>
      <c r="H12" s="135"/>
      <c r="I12" s="135"/>
      <c r="J12" s="133"/>
      <c r="K12" s="133">
        <v>0</v>
      </c>
      <c r="L12" s="136"/>
      <c r="M12" s="137"/>
      <c r="N12" s="1"/>
      <c r="O12" s="6"/>
      <c r="P12" s="6"/>
      <c r="Q12" s="6"/>
      <c r="R12" s="51" t="s">
        <v>61</v>
      </c>
      <c r="S12" s="171">
        <f>C10+C20+C40</f>
        <v>395856</v>
      </c>
      <c r="T12" s="171">
        <f t="shared" si="0"/>
        <v>395.85599999999999</v>
      </c>
      <c r="U12" s="172"/>
      <c r="V12" s="6"/>
      <c r="W12" s="1"/>
    </row>
    <row r="13" spans="2:23" x14ac:dyDescent="0.25">
      <c r="B13" s="2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8"/>
      <c r="N13" s="6"/>
      <c r="R13" s="173" t="s">
        <v>108</v>
      </c>
      <c r="S13" s="171">
        <f>SUM(S4:S12)</f>
        <v>2194054.6752362633</v>
      </c>
      <c r="T13" s="171">
        <f>SUM(T4:T12)</f>
        <v>2194.0546752362629</v>
      </c>
      <c r="U13" s="172"/>
    </row>
    <row r="14" spans="2:23" ht="18.75" x14ac:dyDescent="0.3">
      <c r="B14" s="26" t="s">
        <v>16</v>
      </c>
      <c r="C14" s="139"/>
      <c r="D14" s="139"/>
      <c r="E14" s="139"/>
      <c r="F14" s="139"/>
      <c r="G14" s="139"/>
      <c r="H14" s="139"/>
      <c r="I14" s="139"/>
      <c r="J14" s="139"/>
      <c r="K14" s="159" t="s">
        <v>17</v>
      </c>
      <c r="L14" s="140" t="s">
        <v>18</v>
      </c>
      <c r="M14" s="141"/>
      <c r="N14" s="27" t="s">
        <v>19</v>
      </c>
      <c r="O14" s="28"/>
      <c r="R14" t="s">
        <v>109</v>
      </c>
      <c r="S14" s="59">
        <f>K8</f>
        <v>0</v>
      </c>
      <c r="T14" s="59">
        <f>S14/1000</f>
        <v>0</v>
      </c>
      <c r="U14" s="172"/>
      <c r="V14"/>
    </row>
    <row r="15" spans="2:23" x14ac:dyDescent="0.25">
      <c r="B15" s="19" t="s">
        <v>20</v>
      </c>
      <c r="C15" s="132">
        <v>0</v>
      </c>
      <c r="D15" s="132">
        <v>0</v>
      </c>
      <c r="E15" s="132">
        <v>0</v>
      </c>
      <c r="F15" s="132">
        <v>0</v>
      </c>
      <c r="G15" s="132"/>
      <c r="H15" s="132">
        <v>0</v>
      </c>
      <c r="I15" s="132">
        <v>0</v>
      </c>
      <c r="J15" s="132">
        <v>0</v>
      </c>
      <c r="K15" s="132">
        <v>0</v>
      </c>
      <c r="L15" s="142">
        <f>K15/(1-N15)</f>
        <v>0</v>
      </c>
      <c r="M15" s="143">
        <f>J15-L15</f>
        <v>0</v>
      </c>
      <c r="N15" s="29">
        <v>0.03</v>
      </c>
      <c r="P15" s="30"/>
      <c r="R15" t="s">
        <v>110</v>
      </c>
      <c r="S15" s="59">
        <f>K9</f>
        <v>25334</v>
      </c>
      <c r="T15" s="59">
        <f t="shared" ref="T15:T16" si="2">S15/1000</f>
        <v>25.334</v>
      </c>
      <c r="U15" s="172"/>
      <c r="V15"/>
    </row>
    <row r="16" spans="2:23" x14ac:dyDescent="0.25">
      <c r="B16" s="19" t="s">
        <v>21</v>
      </c>
      <c r="C16" s="132">
        <v>651</v>
      </c>
      <c r="D16" s="132">
        <v>0</v>
      </c>
      <c r="E16" s="132">
        <v>0</v>
      </c>
      <c r="F16" s="34">
        <v>9165.8706709893377</v>
      </c>
      <c r="G16" s="34">
        <v>121097.12932901067</v>
      </c>
      <c r="H16" s="132">
        <v>7986</v>
      </c>
      <c r="I16" s="132">
        <v>0</v>
      </c>
      <c r="J16" s="132">
        <v>138900</v>
      </c>
      <c r="K16" s="132">
        <v>114589</v>
      </c>
      <c r="L16" s="142">
        <f>K16/(1-N16)</f>
        <v>118132.98969072165</v>
      </c>
      <c r="M16" s="143">
        <f>J16-L16</f>
        <v>20767.010309278354</v>
      </c>
      <c r="N16" s="29">
        <v>0.03</v>
      </c>
      <c r="P16" s="30"/>
      <c r="R16" t="s">
        <v>111</v>
      </c>
      <c r="S16" s="59">
        <f>K6+K7</f>
        <v>0</v>
      </c>
      <c r="T16" s="59">
        <f t="shared" si="2"/>
        <v>0</v>
      </c>
      <c r="U16" s="172"/>
      <c r="V16" s="6"/>
    </row>
    <row r="17" spans="2:23" x14ac:dyDescent="0.25">
      <c r="B17" s="19" t="s">
        <v>22</v>
      </c>
      <c r="C17" s="132">
        <v>0</v>
      </c>
      <c r="D17" s="132">
        <v>0</v>
      </c>
      <c r="E17" s="132">
        <v>0</v>
      </c>
      <c r="F17" s="132">
        <v>0</v>
      </c>
      <c r="G17" s="132"/>
      <c r="H17" s="132">
        <v>0</v>
      </c>
      <c r="I17" s="132">
        <v>0</v>
      </c>
      <c r="J17" s="132">
        <v>0</v>
      </c>
      <c r="K17" s="132">
        <v>0</v>
      </c>
      <c r="L17" s="142">
        <f>K17/(1-N17)</f>
        <v>0</v>
      </c>
      <c r="M17" s="143">
        <f>J17-L17</f>
        <v>0</v>
      </c>
      <c r="N17" s="29">
        <v>0.03</v>
      </c>
      <c r="P17" s="30"/>
      <c r="R17" t="s">
        <v>112</v>
      </c>
      <c r="S17" s="59">
        <f>SUM(S13:S16)</f>
        <v>2219388.6752362633</v>
      </c>
      <c r="T17" s="59">
        <f>SUM(T13:T16)</f>
        <v>2219.3886752362628</v>
      </c>
      <c r="U17" s="172"/>
      <c r="V17" s="6"/>
      <c r="W17" s="6"/>
    </row>
    <row r="18" spans="2:23" x14ac:dyDescent="0.25">
      <c r="B18" s="19" t="s">
        <v>23</v>
      </c>
      <c r="C18" s="132">
        <v>0</v>
      </c>
      <c r="D18" s="132">
        <v>0</v>
      </c>
      <c r="E18" s="132">
        <v>0</v>
      </c>
      <c r="F18" s="132">
        <v>0</v>
      </c>
      <c r="G18" s="132"/>
      <c r="H18" s="132">
        <v>0</v>
      </c>
      <c r="I18" s="132">
        <v>0</v>
      </c>
      <c r="J18" s="132">
        <v>0</v>
      </c>
      <c r="K18" s="219">
        <v>575</v>
      </c>
      <c r="L18" s="142">
        <f>K18/(1-N18)</f>
        <v>579.63709677419354</v>
      </c>
      <c r="M18" s="143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132">
        <v>0</v>
      </c>
      <c r="D19" s="132">
        <v>0</v>
      </c>
      <c r="E19" s="132">
        <v>0</v>
      </c>
      <c r="F19" s="132">
        <v>0</v>
      </c>
      <c r="G19" s="132"/>
      <c r="H19" s="132">
        <v>0</v>
      </c>
      <c r="I19" s="132">
        <v>0</v>
      </c>
      <c r="J19" s="132">
        <v>0</v>
      </c>
      <c r="K19" s="205">
        <v>2845.5252180508146</v>
      </c>
      <c r="L19" s="142">
        <f>K19/(1-N19)</f>
        <v>2845.5252180508146</v>
      </c>
      <c r="M19" s="143"/>
      <c r="N19" s="1">
        <v>0</v>
      </c>
      <c r="P19" s="30"/>
      <c r="R19" s="19" t="s">
        <v>113</v>
      </c>
      <c r="S19" s="21">
        <f>IF(K28&lt;0,0,K28)</f>
        <v>0</v>
      </c>
      <c r="T19" s="171">
        <f t="shared" ref="T19:T25" si="3">S19/1000</f>
        <v>0</v>
      </c>
      <c r="U19"/>
      <c r="V19" s="6"/>
    </row>
    <row r="20" spans="2:23" x14ac:dyDescent="0.25">
      <c r="B20" s="19" t="s">
        <v>14</v>
      </c>
      <c r="C20" s="132">
        <f t="shared" ref="C20:J20" si="4">SUM(C15:C19)</f>
        <v>651</v>
      </c>
      <c r="D20" s="132">
        <f t="shared" si="4"/>
        <v>0</v>
      </c>
      <c r="E20" s="132">
        <f t="shared" si="4"/>
        <v>0</v>
      </c>
      <c r="F20" s="132">
        <f t="shared" si="4"/>
        <v>9165.8706709893377</v>
      </c>
      <c r="G20" s="132"/>
      <c r="H20" s="132">
        <f t="shared" si="4"/>
        <v>7986</v>
      </c>
      <c r="I20" s="132">
        <f t="shared" si="4"/>
        <v>0</v>
      </c>
      <c r="J20" s="132">
        <f t="shared" si="4"/>
        <v>138900</v>
      </c>
      <c r="K20" s="205">
        <f>SUM(K15:K19)</f>
        <v>118009.52521805081</v>
      </c>
      <c r="L20" s="144">
        <f>SUM(L15:L19)</f>
        <v>121558.15200554665</v>
      </c>
      <c r="M20" s="144">
        <f>SUM(M15:M19)</f>
        <v>20767.010309278354</v>
      </c>
      <c r="N20" s="32"/>
      <c r="O20" s="33"/>
      <c r="P20" s="30"/>
      <c r="R20" s="19" t="s">
        <v>35</v>
      </c>
      <c r="S20" s="174">
        <f>L32</f>
        <v>18023</v>
      </c>
      <c r="T20" s="171">
        <f t="shared" si="3"/>
        <v>18.023</v>
      </c>
      <c r="U20"/>
      <c r="V20" s="6"/>
    </row>
    <row r="21" spans="2:23" x14ac:dyDescent="0.25">
      <c r="B21" s="24"/>
      <c r="C21" s="132"/>
      <c r="D21" s="132"/>
      <c r="E21" s="132"/>
      <c r="F21" s="132"/>
      <c r="G21" s="132"/>
      <c r="H21" s="132"/>
      <c r="I21" s="132"/>
      <c r="J21" s="132"/>
      <c r="K21" s="132"/>
      <c r="L21" s="131"/>
      <c r="M21" s="138"/>
      <c r="N21" s="30"/>
      <c r="R21" s="19" t="s">
        <v>36</v>
      </c>
      <c r="S21" s="174">
        <f>L33</f>
        <v>1483763.777777778</v>
      </c>
      <c r="T21" s="171">
        <f t="shared" si="3"/>
        <v>1483.7637777777779</v>
      </c>
      <c r="U21" s="172"/>
    </row>
    <row r="22" spans="2:23" x14ac:dyDescent="0.25">
      <c r="B22" s="24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8"/>
      <c r="R22" s="19" t="s">
        <v>37</v>
      </c>
      <c r="S22" s="174">
        <f>L34</f>
        <v>40520</v>
      </c>
      <c r="T22" s="171">
        <f t="shared" si="3"/>
        <v>40.520000000000003</v>
      </c>
      <c r="U22" s="172"/>
    </row>
    <row r="23" spans="2:23" ht="15.75" thickBot="1" x14ac:dyDescent="0.3">
      <c r="B23" s="35" t="s">
        <v>25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R23" s="19" t="s">
        <v>38</v>
      </c>
      <c r="S23" s="174">
        <f>L35</f>
        <v>316508</v>
      </c>
      <c r="T23" s="171">
        <f t="shared" si="3"/>
        <v>316.50799999999998</v>
      </c>
      <c r="U23" s="172"/>
    </row>
    <row r="24" spans="2:23" x14ac:dyDescent="0.25"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R24" s="19" t="s">
        <v>39</v>
      </c>
      <c r="S24" s="174">
        <f>L36</f>
        <v>81911</v>
      </c>
      <c r="T24" s="171">
        <f t="shared" si="3"/>
        <v>81.911000000000001</v>
      </c>
      <c r="U24" s="172"/>
    </row>
    <row r="25" spans="2:23" ht="15.75" thickBot="1" x14ac:dyDescent="0.3"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R25" s="19" t="s">
        <v>44</v>
      </c>
      <c r="S25" s="174">
        <f>L41</f>
        <v>188520</v>
      </c>
      <c r="T25" s="171">
        <f t="shared" si="3"/>
        <v>188.52</v>
      </c>
      <c r="U25" s="172"/>
    </row>
    <row r="26" spans="2:23" ht="15.75" thickBot="1" x14ac:dyDescent="0.3">
      <c r="B26" s="8"/>
      <c r="C26" s="147"/>
      <c r="D26" s="147"/>
      <c r="E26" s="147"/>
      <c r="F26" s="147"/>
      <c r="G26" s="147"/>
      <c r="H26" s="147"/>
      <c r="I26" s="131"/>
      <c r="J26" s="148" t="s">
        <v>26</v>
      </c>
      <c r="K26" s="149" t="s">
        <v>27</v>
      </c>
      <c r="L26" s="131"/>
      <c r="M26" s="131"/>
      <c r="N26" s="38" t="s">
        <v>28</v>
      </c>
      <c r="R26" s="19" t="s">
        <v>114</v>
      </c>
      <c r="S26" s="60">
        <f>SUM(S20:S25)</f>
        <v>2129245.777777778</v>
      </c>
      <c r="T26" s="60">
        <f>SUM(T20:T25)</f>
        <v>2129.2457777777781</v>
      </c>
      <c r="U26" s="172"/>
    </row>
    <row r="27" spans="2:23" x14ac:dyDescent="0.25">
      <c r="B27" s="39" t="s">
        <v>29</v>
      </c>
      <c r="C27" s="132"/>
      <c r="D27" s="132"/>
      <c r="E27" s="132"/>
      <c r="F27" s="132"/>
      <c r="G27" s="132"/>
      <c r="H27" s="132"/>
      <c r="I27" s="131"/>
      <c r="J27" s="150">
        <f>K10-J40</f>
        <v>11268</v>
      </c>
      <c r="K27" s="134">
        <f>K40*8%</f>
        <v>40546.400000000001</v>
      </c>
      <c r="L27" s="131"/>
      <c r="M27" s="131"/>
      <c r="N27" s="40">
        <f>100-(J40/K10*100)</f>
        <v>9.7806556893244334</v>
      </c>
      <c r="R27" s="175" t="s">
        <v>115</v>
      </c>
      <c r="S27" s="176"/>
      <c r="T27" s="177">
        <f t="shared" ref="T27:T34" si="5">S27/1000</f>
        <v>0</v>
      </c>
      <c r="U27" s="172"/>
    </row>
    <row r="28" spans="2:23" ht="15.75" thickBot="1" x14ac:dyDescent="0.3">
      <c r="B28" s="35" t="s">
        <v>30</v>
      </c>
      <c r="C28" s="145"/>
      <c r="D28" s="145"/>
      <c r="E28" s="145"/>
      <c r="F28" s="145"/>
      <c r="G28" s="145"/>
      <c r="H28" s="145"/>
      <c r="I28" s="145"/>
      <c r="J28" s="151">
        <f>J40+J27-K10</f>
        <v>0</v>
      </c>
      <c r="K28" s="95">
        <f>K20-K27-K40</f>
        <v>-429366.87478194921</v>
      </c>
      <c r="L28" s="131"/>
      <c r="M28" s="131"/>
      <c r="N28" s="1" t="str">
        <f>IF(N27&gt;10,"OBS! HÖGA FÖRLUSTER","OK")</f>
        <v>OK</v>
      </c>
      <c r="R28" s="51" t="s">
        <v>116</v>
      </c>
      <c r="S28" s="52">
        <f>K27</f>
        <v>40546.400000000001</v>
      </c>
      <c r="T28" s="178">
        <f t="shared" si="5"/>
        <v>40.546399999999998</v>
      </c>
      <c r="U28" s="172"/>
    </row>
    <row r="29" spans="2:23" ht="15.75" thickBot="1" x14ac:dyDescent="0.3"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R29" s="51" t="s">
        <v>117</v>
      </c>
      <c r="S29" s="52">
        <f>J27</f>
        <v>11268</v>
      </c>
      <c r="T29" s="178">
        <f t="shared" si="5"/>
        <v>11.268000000000001</v>
      </c>
      <c r="U29" s="50"/>
    </row>
    <row r="30" spans="2:23" ht="15.75" thickBot="1" x14ac:dyDescent="0.3">
      <c r="B30" s="8"/>
      <c r="C30" s="152" t="s">
        <v>0</v>
      </c>
      <c r="D30" s="152"/>
      <c r="E30" s="152"/>
      <c r="F30" s="152" t="s">
        <v>1</v>
      </c>
      <c r="G30" s="152"/>
      <c r="H30" s="152"/>
      <c r="I30" s="147"/>
      <c r="J30" s="147"/>
      <c r="K30" s="147"/>
      <c r="L30" s="153"/>
      <c r="M30" s="131"/>
      <c r="R30" s="51" t="s">
        <v>118</v>
      </c>
      <c r="S30" s="52">
        <f>L20-K20</f>
        <v>3548.626787495843</v>
      </c>
      <c r="T30" s="178">
        <f t="shared" si="5"/>
        <v>3.5486267874958428</v>
      </c>
      <c r="U30" s="55"/>
    </row>
    <row r="31" spans="2:23" ht="30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154" t="s">
        <v>32</v>
      </c>
      <c r="K31" s="154" t="s">
        <v>33</v>
      </c>
      <c r="L31" s="155" t="s">
        <v>34</v>
      </c>
      <c r="M31" s="131"/>
      <c r="R31" s="51" t="s">
        <v>119</v>
      </c>
      <c r="S31" s="52">
        <f>M4</f>
        <v>0</v>
      </c>
      <c r="T31" s="178">
        <f t="shared" si="5"/>
        <v>0</v>
      </c>
      <c r="U31" s="55"/>
    </row>
    <row r="32" spans="2:23" x14ac:dyDescent="0.25">
      <c r="B32" s="19" t="s">
        <v>35</v>
      </c>
      <c r="C32" s="132">
        <v>7588</v>
      </c>
      <c r="D32" s="132">
        <v>0</v>
      </c>
      <c r="E32" s="132">
        <v>0</v>
      </c>
      <c r="F32" s="132">
        <v>770</v>
      </c>
      <c r="G32" s="132"/>
      <c r="H32" s="132">
        <v>0</v>
      </c>
      <c r="I32" s="132">
        <v>0</v>
      </c>
      <c r="J32" s="132">
        <v>0</v>
      </c>
      <c r="K32" s="132">
        <v>9665</v>
      </c>
      <c r="L32" s="134">
        <f>SUM(C32:K32)</f>
        <v>18023</v>
      </c>
      <c r="M32" s="131"/>
      <c r="R32" s="51" t="s">
        <v>120</v>
      </c>
      <c r="S32" s="52">
        <f>M5</f>
        <v>16977</v>
      </c>
      <c r="T32" s="178">
        <f t="shared" si="5"/>
        <v>16.977</v>
      </c>
      <c r="U32"/>
    </row>
    <row r="33" spans="2:40" ht="17.25" x14ac:dyDescent="0.4">
      <c r="B33" s="19" t="s">
        <v>36</v>
      </c>
      <c r="C33" s="162">
        <v>108772</v>
      </c>
      <c r="D33" s="132">
        <v>0</v>
      </c>
      <c r="E33" s="162">
        <v>64274.777777777781</v>
      </c>
      <c r="F33" s="170">
        <v>56966.129329010662</v>
      </c>
      <c r="G33" s="170">
        <v>752621.87067098939</v>
      </c>
      <c r="H33" s="162">
        <v>184984</v>
      </c>
      <c r="I33" s="132">
        <v>0</v>
      </c>
      <c r="J33" s="132">
        <v>13635</v>
      </c>
      <c r="K33" s="132">
        <v>302510</v>
      </c>
      <c r="L33" s="223">
        <f t="shared" ref="L33:L39" si="6">SUM(C33:K33)</f>
        <v>1483763.777777778</v>
      </c>
      <c r="M33" s="131"/>
      <c r="R33" s="51" t="s">
        <v>121</v>
      </c>
      <c r="S33" s="52">
        <f>M15</f>
        <v>0</v>
      </c>
      <c r="T33" s="178">
        <f t="shared" si="5"/>
        <v>0</v>
      </c>
      <c r="U33" s="55"/>
    </row>
    <row r="34" spans="2:40" ht="15.75" thickBot="1" x14ac:dyDescent="0.3">
      <c r="B34" s="19" t="s">
        <v>37</v>
      </c>
      <c r="C34" s="132">
        <v>197</v>
      </c>
      <c r="D34" s="132">
        <v>0</v>
      </c>
      <c r="E34" s="132">
        <v>0</v>
      </c>
      <c r="F34" s="132">
        <v>0</v>
      </c>
      <c r="G34" s="132"/>
      <c r="H34" s="132">
        <v>0</v>
      </c>
      <c r="I34" s="132">
        <v>0</v>
      </c>
      <c r="J34" s="132">
        <v>17140</v>
      </c>
      <c r="K34" s="132">
        <v>23183</v>
      </c>
      <c r="L34" s="134">
        <f t="shared" si="6"/>
        <v>40520</v>
      </c>
      <c r="M34" s="131"/>
      <c r="R34" s="56" t="s">
        <v>122</v>
      </c>
      <c r="S34" s="179">
        <f>M16</f>
        <v>20767.010309278354</v>
      </c>
      <c r="T34" s="180">
        <f t="shared" si="5"/>
        <v>20.767010309278355</v>
      </c>
      <c r="U34" s="55"/>
    </row>
    <row r="35" spans="2:40" x14ac:dyDescent="0.25">
      <c r="B35" s="19" t="s">
        <v>38</v>
      </c>
      <c r="C35" s="132">
        <v>271214</v>
      </c>
      <c r="D35" s="132">
        <v>0</v>
      </c>
      <c r="E35" s="132">
        <v>0</v>
      </c>
      <c r="F35" s="132">
        <v>26662</v>
      </c>
      <c r="G35" s="132"/>
      <c r="H35" s="132">
        <v>0</v>
      </c>
      <c r="I35" s="132">
        <v>0</v>
      </c>
      <c r="J35" s="132">
        <v>0</v>
      </c>
      <c r="K35" s="132">
        <v>18632</v>
      </c>
      <c r="L35" s="134">
        <f t="shared" si="6"/>
        <v>316508</v>
      </c>
      <c r="M35" s="131"/>
      <c r="R35" s="173" t="s">
        <v>123</v>
      </c>
      <c r="S35" s="181">
        <f>SUM(S28:S34)</f>
        <v>93107.037096774206</v>
      </c>
      <c r="T35" s="182">
        <f>SUM(T28:T34)</f>
        <v>93.107037096774206</v>
      </c>
      <c r="U35" s="55"/>
    </row>
    <row r="36" spans="2:40" x14ac:dyDescent="0.25">
      <c r="B36" s="19" t="s">
        <v>39</v>
      </c>
      <c r="C36" s="132">
        <v>2107</v>
      </c>
      <c r="D36" s="132">
        <v>0</v>
      </c>
      <c r="E36" s="132">
        <v>0</v>
      </c>
      <c r="F36" s="132">
        <v>0</v>
      </c>
      <c r="G36" s="132"/>
      <c r="H36" s="132">
        <v>0</v>
      </c>
      <c r="I36" s="132">
        <v>0</v>
      </c>
      <c r="J36" s="132">
        <v>21906</v>
      </c>
      <c r="K36" s="132">
        <v>57898</v>
      </c>
      <c r="L36" s="134">
        <f t="shared" si="6"/>
        <v>81911</v>
      </c>
      <c r="M36" s="131"/>
      <c r="R36" s="173" t="s">
        <v>124</v>
      </c>
      <c r="S36"/>
      <c r="T36" s="60">
        <f>T26+T35+T19</f>
        <v>2222.3528148745522</v>
      </c>
    </row>
    <row r="37" spans="2:40" x14ac:dyDescent="0.25">
      <c r="B37" s="19" t="s">
        <v>40</v>
      </c>
      <c r="C37" s="132">
        <v>1840</v>
      </c>
      <c r="D37" s="132">
        <v>0</v>
      </c>
      <c r="E37" s="132">
        <v>0</v>
      </c>
      <c r="F37" s="132">
        <v>0</v>
      </c>
      <c r="G37" s="132"/>
      <c r="H37" s="132">
        <v>39043</v>
      </c>
      <c r="I37" s="132">
        <v>0</v>
      </c>
      <c r="J37" s="132">
        <v>4942</v>
      </c>
      <c r="K37" s="132">
        <v>74588</v>
      </c>
      <c r="L37" s="134">
        <f t="shared" si="6"/>
        <v>120413</v>
      </c>
      <c r="M37" s="131"/>
      <c r="R37" s="1" t="s">
        <v>125</v>
      </c>
      <c r="S37"/>
      <c r="T37" s="183">
        <f>T17-T36</f>
        <v>-2.9641396382894527</v>
      </c>
      <c r="U37"/>
    </row>
    <row r="38" spans="2:40" x14ac:dyDescent="0.25">
      <c r="B38" s="19" t="s">
        <v>41</v>
      </c>
      <c r="C38" s="132">
        <v>1437</v>
      </c>
      <c r="D38" s="132">
        <v>0</v>
      </c>
      <c r="E38" s="132">
        <v>0</v>
      </c>
      <c r="F38" s="132">
        <v>0</v>
      </c>
      <c r="G38" s="132"/>
      <c r="H38" s="132">
        <v>0</v>
      </c>
      <c r="I38" s="132">
        <v>0</v>
      </c>
      <c r="J38" s="132">
        <v>46316</v>
      </c>
      <c r="K38" s="132">
        <v>14399</v>
      </c>
      <c r="L38" s="134">
        <f t="shared" si="6"/>
        <v>62152</v>
      </c>
      <c r="M38" s="157"/>
      <c r="O38" s="6"/>
      <c r="P38" s="6"/>
      <c r="Q38" s="6"/>
      <c r="R38" s="173" t="s">
        <v>124</v>
      </c>
      <c r="S38"/>
      <c r="T38" s="60">
        <f>T28+T37+T21</f>
        <v>1521.3460381394884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132">
        <v>0</v>
      </c>
      <c r="D39" s="132">
        <v>0</v>
      </c>
      <c r="E39" s="132">
        <v>0</v>
      </c>
      <c r="F39" s="132">
        <v>0</v>
      </c>
      <c r="G39" s="132"/>
      <c r="H39" s="132">
        <v>0</v>
      </c>
      <c r="I39" s="132">
        <v>0</v>
      </c>
      <c r="J39" s="132">
        <v>0</v>
      </c>
      <c r="K39" s="132">
        <v>5955</v>
      </c>
      <c r="L39" s="134">
        <f t="shared" si="6"/>
        <v>5955</v>
      </c>
      <c r="M39" s="131"/>
      <c r="S39" s="172"/>
      <c r="T39" s="184"/>
      <c r="U39" s="172"/>
    </row>
    <row r="40" spans="2:40" ht="17.25" x14ac:dyDescent="0.4">
      <c r="B40" s="19" t="s">
        <v>43</v>
      </c>
      <c r="C40" s="160">
        <f>SUM(C32:C39)</f>
        <v>393155</v>
      </c>
      <c r="D40" s="150">
        <f t="shared" ref="D40:K40" si="7">SUM(D32:D39)</f>
        <v>0</v>
      </c>
      <c r="E40" s="160">
        <f t="shared" si="7"/>
        <v>64274.777777777781</v>
      </c>
      <c r="F40" s="160">
        <f>SUM(F32:F39)</f>
        <v>84398.12932901067</v>
      </c>
      <c r="G40" s="160">
        <f t="shared" ref="G40" si="8">SUM(G32:G39)</f>
        <v>752621.87067098939</v>
      </c>
      <c r="H40" s="160">
        <f t="shared" si="7"/>
        <v>224027</v>
      </c>
      <c r="I40" s="150">
        <f t="shared" si="7"/>
        <v>0</v>
      </c>
      <c r="J40" s="150">
        <f t="shared" si="7"/>
        <v>103939</v>
      </c>
      <c r="K40" s="150">
        <f t="shared" si="7"/>
        <v>506830</v>
      </c>
      <c r="L40" s="215">
        <f>SUM(C40:K40)</f>
        <v>2129245.777777778</v>
      </c>
      <c r="M40" s="131"/>
    </row>
    <row r="41" spans="2:40" x14ac:dyDescent="0.25">
      <c r="B41" s="19" t="s">
        <v>44</v>
      </c>
      <c r="C41" s="150">
        <f>SUM(C37:C39)</f>
        <v>3277</v>
      </c>
      <c r="D41" s="150">
        <f t="shared" ref="D41:L41" si="9">SUM(D37:D39)</f>
        <v>0</v>
      </c>
      <c r="E41" s="150">
        <f t="shared" si="9"/>
        <v>0</v>
      </c>
      <c r="F41" s="150">
        <f t="shared" si="9"/>
        <v>0</v>
      </c>
      <c r="G41" s="150">
        <f t="shared" ref="G41" si="10">SUM(G37:G39)</f>
        <v>0</v>
      </c>
      <c r="H41" s="150">
        <f t="shared" si="9"/>
        <v>39043</v>
      </c>
      <c r="I41" s="150">
        <f t="shared" si="9"/>
        <v>0</v>
      </c>
      <c r="J41" s="150">
        <f t="shared" si="9"/>
        <v>51258</v>
      </c>
      <c r="K41" s="150">
        <f t="shared" si="9"/>
        <v>94942</v>
      </c>
      <c r="L41" s="150">
        <f t="shared" si="9"/>
        <v>188520</v>
      </c>
      <c r="M41" s="131"/>
    </row>
    <row r="42" spans="2:40" x14ac:dyDescent="0.25">
      <c r="B42" s="24"/>
      <c r="C42" s="42"/>
      <c r="D42" s="42"/>
      <c r="E42" s="42"/>
      <c r="F42" s="213">
        <f>F33+G33</f>
        <v>809588</v>
      </c>
      <c r="G42" s="42"/>
      <c r="H42" s="42"/>
      <c r="I42" s="42"/>
      <c r="J42" s="42"/>
      <c r="K42" s="42"/>
      <c r="L42" s="43"/>
    </row>
    <row r="43" spans="2:40" ht="15.75" thickBot="1" x14ac:dyDescent="0.3">
      <c r="B43" s="44"/>
      <c r="C43" s="45"/>
      <c r="D43" s="45"/>
      <c r="E43" s="45"/>
      <c r="F43" s="214">
        <f>F40+G40</f>
        <v>837020</v>
      </c>
      <c r="G43" s="45"/>
      <c r="H43" s="45"/>
      <c r="I43" s="45"/>
      <c r="J43" s="45"/>
      <c r="K43" s="45"/>
      <c r="L43" s="46"/>
    </row>
    <row r="46" spans="2:40" x14ac:dyDescent="0.25">
      <c r="E46" s="34"/>
      <c r="F46" s="34"/>
      <c r="G46" s="34"/>
    </row>
    <row r="47" spans="2:40" x14ac:dyDescent="0.25">
      <c r="G47" s="34"/>
    </row>
    <row r="48" spans="2:40" x14ac:dyDescent="0.25">
      <c r="G48" s="34"/>
    </row>
    <row r="49" spans="5:8" x14ac:dyDescent="0.25">
      <c r="E49" s="34"/>
      <c r="F49" s="34"/>
      <c r="G49" s="34"/>
      <c r="H49" s="30"/>
    </row>
    <row r="53" spans="5:8" x14ac:dyDescent="0.25">
      <c r="E53" s="34"/>
      <c r="F53" s="34"/>
      <c r="G53" s="34"/>
      <c r="H53" s="34"/>
    </row>
    <row r="54" spans="5:8" x14ac:dyDescent="0.25">
      <c r="E54" s="34"/>
      <c r="F54" s="34"/>
      <c r="G54" s="34"/>
      <c r="H54" s="34"/>
    </row>
    <row r="55" spans="5:8" x14ac:dyDescent="0.25">
      <c r="E55" s="34"/>
      <c r="F55" s="34"/>
      <c r="G55" s="34"/>
      <c r="H55" s="34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3"/>
  <sheetViews>
    <sheetView zoomScale="70" zoomScaleNormal="70" workbookViewId="0">
      <selection activeCell="L20" sqref="L20:M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3.5703125" style="1" bestFit="1" customWidth="1"/>
    <col min="4" max="5" width="9.28515625" style="1" bestFit="1" customWidth="1"/>
    <col min="6" max="6" width="12.42578125" style="1" bestFit="1" customWidth="1"/>
    <col min="7" max="7" width="12.42578125" style="1" customWidth="1"/>
    <col min="8" max="8" width="13.5703125" style="1" bestFit="1" customWidth="1"/>
    <col min="9" max="9" width="9.2851562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ht="17.25" x14ac:dyDescent="0.4">
      <c r="B4" s="19" t="s">
        <v>8</v>
      </c>
      <c r="C4" s="165">
        <v>14</v>
      </c>
      <c r="D4" s="131">
        <v>0</v>
      </c>
      <c r="E4" s="131">
        <v>0</v>
      </c>
      <c r="F4" s="131">
        <v>0</v>
      </c>
      <c r="G4" s="131">
        <v>0</v>
      </c>
      <c r="H4" s="165">
        <v>48513.170731707316</v>
      </c>
      <c r="I4" s="131">
        <v>0</v>
      </c>
      <c r="J4" s="165">
        <v>48527.170731707316</v>
      </c>
      <c r="K4" s="156">
        <v>48599.999999999993</v>
      </c>
      <c r="L4" s="167">
        <f>K4/(K4+K5)</f>
        <v>1</v>
      </c>
      <c r="M4" s="134">
        <f>J4-K4</f>
        <v>-72.829268292676716</v>
      </c>
      <c r="N4" s="1"/>
      <c r="O4" s="6"/>
      <c r="P4" s="6"/>
      <c r="Q4" s="6"/>
      <c r="R4" s="51" t="s">
        <v>105</v>
      </c>
      <c r="S4" s="21">
        <f>L20</f>
        <v>173997.93996034283</v>
      </c>
      <c r="T4" s="171">
        <f>S4/1000</f>
        <v>173.99793996034282</v>
      </c>
      <c r="U4" s="172"/>
      <c r="W4" s="1"/>
    </row>
    <row r="5" spans="2:23" s="7" customFormat="1" x14ac:dyDescent="0.25">
      <c r="B5" s="19" t="s">
        <v>9</v>
      </c>
      <c r="C5" s="131">
        <v>0</v>
      </c>
      <c r="D5" s="131">
        <v>0</v>
      </c>
      <c r="E5" s="131">
        <v>0</v>
      </c>
      <c r="F5" s="131">
        <v>0</v>
      </c>
      <c r="G5" s="131">
        <v>0</v>
      </c>
      <c r="H5" s="131">
        <v>0</v>
      </c>
      <c r="I5" s="131">
        <v>0</v>
      </c>
      <c r="J5" s="131">
        <v>0</v>
      </c>
      <c r="K5" s="132">
        <v>0</v>
      </c>
      <c r="L5" s="167">
        <f>K5/(K4+K5)</f>
        <v>0</v>
      </c>
      <c r="M5" s="134">
        <f>J5-K5</f>
        <v>0</v>
      </c>
      <c r="N5" s="1"/>
      <c r="O5" s="6"/>
      <c r="P5" s="6"/>
      <c r="Q5" s="6"/>
      <c r="R5" s="7" t="s">
        <v>106</v>
      </c>
      <c r="S5" s="21">
        <f>IF(K28&gt;0,0,K28)*-1</f>
        <v>0</v>
      </c>
      <c r="T5" s="171">
        <f>S5/1000</f>
        <v>0</v>
      </c>
      <c r="W5" s="1"/>
    </row>
    <row r="6" spans="2:23" s="7" customFormat="1" x14ac:dyDescent="0.25">
      <c r="B6" s="19" t="s">
        <v>10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131">
        <v>0</v>
      </c>
      <c r="J6" s="131">
        <v>0</v>
      </c>
      <c r="K6" s="132">
        <v>0</v>
      </c>
      <c r="L6" s="133"/>
      <c r="M6" s="134"/>
      <c r="N6" s="1"/>
      <c r="O6" s="6"/>
      <c r="P6" s="6"/>
      <c r="Q6" s="6"/>
      <c r="R6" s="51" t="s">
        <v>104</v>
      </c>
      <c r="S6" s="171">
        <f>H10+H20+H40</f>
        <v>65949</v>
      </c>
      <c r="T6" s="171">
        <f>S6/1000</f>
        <v>65.948999999999998</v>
      </c>
      <c r="U6" s="172"/>
      <c r="W6" s="1"/>
    </row>
    <row r="7" spans="2:23" s="7" customFormat="1" x14ac:dyDescent="0.25">
      <c r="B7" s="19" t="s">
        <v>11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2">
        <v>0</v>
      </c>
      <c r="L7" s="133"/>
      <c r="M7" s="134"/>
      <c r="N7" s="1"/>
      <c r="O7" s="6"/>
      <c r="P7" s="6"/>
      <c r="Q7" s="6"/>
      <c r="R7" s="51" t="s">
        <v>56</v>
      </c>
      <c r="S7" s="171">
        <f>D10+D20+D40</f>
        <v>0</v>
      </c>
      <c r="T7" s="171">
        <f>S7/1000</f>
        <v>0</v>
      </c>
      <c r="U7" s="172"/>
      <c r="V7" s="6"/>
      <c r="W7" s="1"/>
    </row>
    <row r="8" spans="2:23" s="7" customFormat="1" x14ac:dyDescent="0.25">
      <c r="B8" s="19" t="s">
        <v>12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2">
        <v>0</v>
      </c>
      <c r="L8" s="133"/>
      <c r="M8" s="134"/>
      <c r="N8" s="1"/>
      <c r="O8" s="6"/>
      <c r="P8" s="6"/>
      <c r="Q8" s="6"/>
      <c r="R8" s="51" t="s">
        <v>58</v>
      </c>
      <c r="S8" s="171">
        <f>G10+G20+G40</f>
        <v>0</v>
      </c>
      <c r="T8" s="171">
        <f t="shared" ref="T8:T12" si="0">S8/1000</f>
        <v>0</v>
      </c>
      <c r="U8" s="172"/>
      <c r="V8" s="6"/>
      <c r="W8" s="1"/>
    </row>
    <row r="9" spans="2:23" s="7" customFormat="1" ht="17.25" x14ac:dyDescent="0.4">
      <c r="B9" s="19" t="s">
        <v>13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56">
        <v>1840.0000000000073</v>
      </c>
      <c r="L9" s="133"/>
      <c r="M9" s="134"/>
      <c r="N9" s="1"/>
      <c r="O9" s="6"/>
      <c r="P9" s="6"/>
      <c r="Q9" s="6"/>
      <c r="R9" s="51" t="s">
        <v>59</v>
      </c>
      <c r="S9" s="171">
        <f>E10+E20+E40</f>
        <v>0</v>
      </c>
      <c r="T9" s="171">
        <f t="shared" si="0"/>
        <v>0</v>
      </c>
      <c r="U9" s="172"/>
      <c r="V9" s="6"/>
      <c r="W9" s="1"/>
    </row>
    <row r="10" spans="2:23" s="7" customFormat="1" ht="17.25" x14ac:dyDescent="0.4">
      <c r="B10" s="19" t="s">
        <v>14</v>
      </c>
      <c r="C10" s="156">
        <f t="shared" ref="C10:K10" si="1">SUM(C4:C9)</f>
        <v>14</v>
      </c>
      <c r="D10" s="132">
        <f t="shared" si="1"/>
        <v>0</v>
      </c>
      <c r="E10" s="132">
        <f t="shared" si="1"/>
        <v>0</v>
      </c>
      <c r="F10" s="132">
        <f t="shared" si="1"/>
        <v>0</v>
      </c>
      <c r="G10" s="132">
        <f t="shared" ref="G10" si="2">SUM(G4:G9)</f>
        <v>0</v>
      </c>
      <c r="H10" s="156">
        <f t="shared" si="1"/>
        <v>48513.170731707316</v>
      </c>
      <c r="I10" s="132">
        <f t="shared" si="1"/>
        <v>0</v>
      </c>
      <c r="J10" s="156">
        <f t="shared" si="1"/>
        <v>48527.170731707316</v>
      </c>
      <c r="K10" s="156">
        <f t="shared" si="1"/>
        <v>50440</v>
      </c>
      <c r="L10" s="133"/>
      <c r="M10" s="134">
        <f>SUM(M4:M9)</f>
        <v>-72.829268292676716</v>
      </c>
      <c r="N10" s="1"/>
      <c r="O10" s="6"/>
      <c r="P10" s="6"/>
      <c r="Q10" s="6"/>
      <c r="R10" s="51" t="s">
        <v>25</v>
      </c>
      <c r="S10" s="171">
        <f>I10+I20+I40</f>
        <v>0</v>
      </c>
      <c r="T10" s="171">
        <f t="shared" si="0"/>
        <v>0</v>
      </c>
      <c r="U10" s="172"/>
      <c r="V10" s="6"/>
      <c r="W10" s="1"/>
    </row>
    <row r="11" spans="2:23" s="7" customFormat="1" x14ac:dyDescent="0.25">
      <c r="B11" s="22"/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137"/>
      <c r="N11" s="1"/>
      <c r="O11" s="6"/>
      <c r="P11" s="6"/>
      <c r="Q11" s="6"/>
      <c r="R11" s="51" t="s">
        <v>60</v>
      </c>
      <c r="S11" s="171">
        <f>F10+F20+F40</f>
        <v>3906</v>
      </c>
      <c r="T11" s="171">
        <f t="shared" si="0"/>
        <v>3.9060000000000001</v>
      </c>
      <c r="U11" s="172"/>
      <c r="V11" s="6"/>
      <c r="W11" s="1"/>
    </row>
    <row r="12" spans="2:23" s="7" customFormat="1" x14ac:dyDescent="0.25">
      <c r="B12" s="23" t="s">
        <v>15</v>
      </c>
      <c r="C12" s="135"/>
      <c r="D12" s="135"/>
      <c r="E12" s="135"/>
      <c r="F12" s="135"/>
      <c r="G12" s="135"/>
      <c r="H12" s="135"/>
      <c r="I12" s="135"/>
      <c r="J12" s="133"/>
      <c r="K12" s="133"/>
      <c r="L12" s="136"/>
      <c r="M12" s="137"/>
      <c r="N12" s="1"/>
      <c r="O12" s="6"/>
      <c r="P12" s="6"/>
      <c r="Q12" s="6"/>
      <c r="R12" s="51" t="s">
        <v>61</v>
      </c>
      <c r="S12" s="171">
        <f>C10+C20+C40</f>
        <v>43735</v>
      </c>
      <c r="T12" s="171">
        <f t="shared" si="0"/>
        <v>43.734999999999999</v>
      </c>
      <c r="U12" s="172"/>
      <c r="V12" s="6"/>
      <c r="W12" s="1"/>
    </row>
    <row r="13" spans="2:23" x14ac:dyDescent="0.25">
      <c r="B13" s="2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8"/>
      <c r="N13" s="6"/>
      <c r="R13" s="173" t="s">
        <v>108</v>
      </c>
      <c r="S13" s="171">
        <f>SUM(S4:S12)</f>
        <v>287587.93996034283</v>
      </c>
      <c r="T13" s="171">
        <f>SUM(T4:T12)</f>
        <v>287.58793996034285</v>
      </c>
      <c r="U13" s="172"/>
    </row>
    <row r="14" spans="2:23" ht="18.75" x14ac:dyDescent="0.3">
      <c r="B14" s="26" t="s">
        <v>16</v>
      </c>
      <c r="C14" s="139"/>
      <c r="D14" s="139"/>
      <c r="E14" s="139"/>
      <c r="F14" s="139"/>
      <c r="G14" s="139"/>
      <c r="H14" s="139"/>
      <c r="I14" s="139"/>
      <c r="J14" s="139"/>
      <c r="K14" s="159" t="s">
        <v>17</v>
      </c>
      <c r="L14" s="140" t="s">
        <v>18</v>
      </c>
      <c r="M14" s="141"/>
      <c r="N14" s="27" t="s">
        <v>19</v>
      </c>
      <c r="O14" s="28"/>
      <c r="R14" t="s">
        <v>109</v>
      </c>
      <c r="S14" s="59">
        <f>K8</f>
        <v>0</v>
      </c>
      <c r="T14" s="59">
        <f>S14/1000</f>
        <v>0</v>
      </c>
      <c r="U14" s="172"/>
      <c r="V14"/>
    </row>
    <row r="15" spans="2:23" x14ac:dyDescent="0.25">
      <c r="B15" s="19" t="s">
        <v>20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42">
        <f>K15/(1-N15)</f>
        <v>0</v>
      </c>
      <c r="M15" s="143">
        <f>J15-L15</f>
        <v>0</v>
      </c>
      <c r="N15" s="29">
        <v>0.03</v>
      </c>
      <c r="P15" s="30"/>
      <c r="R15" t="s">
        <v>110</v>
      </c>
      <c r="S15" s="59">
        <f>K9</f>
        <v>1840.0000000000073</v>
      </c>
      <c r="T15" s="59">
        <f t="shared" ref="T15:T16" si="3">S15/1000</f>
        <v>1.8400000000000072</v>
      </c>
      <c r="U15" s="172"/>
      <c r="V15"/>
    </row>
    <row r="16" spans="2:23" ht="17.25" x14ac:dyDescent="0.4">
      <c r="B16" s="19" t="s">
        <v>21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56">
        <v>9926.829268292684</v>
      </c>
      <c r="I16" s="132">
        <v>0</v>
      </c>
      <c r="J16" s="156">
        <v>9926.829268292684</v>
      </c>
      <c r="K16" s="156">
        <v>8140.0000000000009</v>
      </c>
      <c r="L16" s="142">
        <f>K16/(1-N16)</f>
        <v>8391.7525773195885</v>
      </c>
      <c r="M16" s="143">
        <f>J16-L16</f>
        <v>1535.0766909730955</v>
      </c>
      <c r="N16" s="29">
        <v>0.03</v>
      </c>
      <c r="P16" s="30"/>
      <c r="R16" t="s">
        <v>111</v>
      </c>
      <c r="S16" s="59">
        <f>K6+K7</f>
        <v>0</v>
      </c>
      <c r="T16" s="59">
        <f t="shared" si="3"/>
        <v>0</v>
      </c>
      <c r="U16" s="172"/>
      <c r="V16" s="6"/>
    </row>
    <row r="17" spans="2:23" x14ac:dyDescent="0.25">
      <c r="B17" s="19" t="s">
        <v>22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42">
        <f>K17/(1-N17)</f>
        <v>0</v>
      </c>
      <c r="M17" s="143">
        <f>J17-L17</f>
        <v>0</v>
      </c>
      <c r="N17" s="29">
        <v>0.03</v>
      </c>
      <c r="P17" s="30"/>
      <c r="R17" t="s">
        <v>112</v>
      </c>
      <c r="S17" s="59">
        <f>SUM(S13:S16)</f>
        <v>289427.93996034283</v>
      </c>
      <c r="T17" s="59">
        <f>SUM(T13:T16)</f>
        <v>289.42793996034288</v>
      </c>
      <c r="U17" s="172"/>
      <c r="V17" s="6"/>
      <c r="W17" s="6"/>
    </row>
    <row r="18" spans="2:23" ht="17.25" x14ac:dyDescent="0.4">
      <c r="B18" s="19" t="s">
        <v>23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56">
        <v>164281.33788395906</v>
      </c>
      <c r="L18" s="142">
        <f>K18/(1-N18)</f>
        <v>165606.18738302324</v>
      </c>
      <c r="M18" s="143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42">
        <f>K19/(1-N19)</f>
        <v>0</v>
      </c>
      <c r="M19" s="143"/>
      <c r="N19" s="1">
        <v>0</v>
      </c>
      <c r="P19" s="30"/>
      <c r="R19" s="19" t="s">
        <v>113</v>
      </c>
      <c r="S19" s="21">
        <f>IF(K28&lt;0,0,K28)</f>
        <v>98190.636522702524</v>
      </c>
      <c r="T19" s="171">
        <f t="shared" ref="T19:T25" si="4">S19/1000</f>
        <v>98.190636522702519</v>
      </c>
      <c r="U19"/>
      <c r="V19" s="6"/>
    </row>
    <row r="20" spans="2:23" ht="17.25" x14ac:dyDescent="0.4">
      <c r="B20" s="19" t="s">
        <v>14</v>
      </c>
      <c r="C20" s="132">
        <f t="shared" ref="C20:J20" si="5">SUM(C15:C19)</f>
        <v>0</v>
      </c>
      <c r="D20" s="132">
        <f t="shared" si="5"/>
        <v>0</v>
      </c>
      <c r="E20" s="132">
        <f t="shared" si="5"/>
        <v>0</v>
      </c>
      <c r="F20" s="132">
        <f t="shared" si="5"/>
        <v>0</v>
      </c>
      <c r="G20" s="132">
        <f t="shared" ref="G20" si="6">SUM(G15:G19)</f>
        <v>0</v>
      </c>
      <c r="H20" s="156">
        <f t="shared" si="5"/>
        <v>9926.829268292684</v>
      </c>
      <c r="I20" s="132">
        <f t="shared" si="5"/>
        <v>0</v>
      </c>
      <c r="J20" s="156">
        <f t="shared" si="5"/>
        <v>9926.829268292684</v>
      </c>
      <c r="K20" s="156">
        <f>SUM(K15:K19)</f>
        <v>172421.33788395906</v>
      </c>
      <c r="L20" s="144">
        <f>SUM(L15:L19)</f>
        <v>173997.93996034283</v>
      </c>
      <c r="M20" s="144">
        <f>SUM(M15:M19)</f>
        <v>1535.0766909730955</v>
      </c>
      <c r="N20" s="32"/>
      <c r="O20" s="33"/>
      <c r="P20" s="30"/>
      <c r="R20" s="19" t="s">
        <v>35</v>
      </c>
      <c r="S20" s="174">
        <f>L32</f>
        <v>1429</v>
      </c>
      <c r="T20" s="171">
        <f t="shared" si="4"/>
        <v>1.429</v>
      </c>
      <c r="U20"/>
      <c r="V20" s="6"/>
    </row>
    <row r="21" spans="2:23" x14ac:dyDescent="0.25">
      <c r="B21" s="24"/>
      <c r="C21" s="132"/>
      <c r="D21" s="132"/>
      <c r="E21" s="132"/>
      <c r="F21" s="132"/>
      <c r="G21" s="132"/>
      <c r="H21" s="132"/>
      <c r="I21" s="132"/>
      <c r="J21" s="132"/>
      <c r="K21" s="132"/>
      <c r="L21" s="131"/>
      <c r="M21" s="138"/>
      <c r="N21" s="30"/>
      <c r="R21" s="19" t="s">
        <v>36</v>
      </c>
      <c r="S21" s="174">
        <f>L33</f>
        <v>54541</v>
      </c>
      <c r="T21" s="171">
        <f t="shared" si="4"/>
        <v>54.540999999999997</v>
      </c>
      <c r="U21" s="172"/>
    </row>
    <row r="22" spans="2:23" x14ac:dyDescent="0.25">
      <c r="B22" s="24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8"/>
      <c r="R22" s="19" t="s">
        <v>37</v>
      </c>
      <c r="S22" s="174">
        <f>L34</f>
        <v>5793.1308900523563</v>
      </c>
      <c r="T22" s="171">
        <f t="shared" si="4"/>
        <v>5.7931308900523559</v>
      </c>
      <c r="U22" s="172"/>
    </row>
    <row r="23" spans="2:23" ht="15.75" thickBot="1" x14ac:dyDescent="0.3">
      <c r="B23" s="35" t="s">
        <v>25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R23" s="19" t="s">
        <v>38</v>
      </c>
      <c r="S23" s="174">
        <f>L35</f>
        <v>46583</v>
      </c>
      <c r="T23" s="171">
        <f t="shared" si="4"/>
        <v>46.582999999999998</v>
      </c>
      <c r="U23" s="172"/>
    </row>
    <row r="24" spans="2:23" x14ac:dyDescent="0.25"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R24" s="19" t="s">
        <v>39</v>
      </c>
      <c r="S24" s="174">
        <f>L36</f>
        <v>8586</v>
      </c>
      <c r="T24" s="171">
        <f t="shared" si="4"/>
        <v>8.5860000000000003</v>
      </c>
      <c r="U24" s="172"/>
    </row>
    <row r="25" spans="2:23" ht="15.75" thickBot="1" x14ac:dyDescent="0.3"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R25" s="19" t="s">
        <v>44</v>
      </c>
      <c r="S25" s="174">
        <f>L41</f>
        <v>41121</v>
      </c>
      <c r="T25" s="171">
        <f t="shared" si="4"/>
        <v>41.121000000000002</v>
      </c>
      <c r="U25" s="172"/>
    </row>
    <row r="26" spans="2:23" ht="15.75" thickBot="1" x14ac:dyDescent="0.3">
      <c r="B26" s="8"/>
      <c r="C26" s="147"/>
      <c r="D26" s="147"/>
      <c r="E26" s="147"/>
      <c r="F26" s="147"/>
      <c r="G26" s="147"/>
      <c r="H26" s="147"/>
      <c r="I26" s="131"/>
      <c r="J26" s="148" t="s">
        <v>26</v>
      </c>
      <c r="K26" s="149" t="s">
        <v>27</v>
      </c>
      <c r="L26" s="131"/>
      <c r="M26" s="131"/>
      <c r="N26" s="38" t="s">
        <v>28</v>
      </c>
      <c r="R26" s="19" t="s">
        <v>114</v>
      </c>
      <c r="S26" s="60">
        <f>SUM(S20:S25)</f>
        <v>158053.13089005236</v>
      </c>
      <c r="T26" s="60">
        <f>SUM(T20:T25)</f>
        <v>158.05313089005236</v>
      </c>
      <c r="U26" s="172"/>
    </row>
    <row r="27" spans="2:23" x14ac:dyDescent="0.25">
      <c r="B27" s="39" t="s">
        <v>29</v>
      </c>
      <c r="C27" s="132"/>
      <c r="D27" s="132"/>
      <c r="E27" s="132"/>
      <c r="F27" s="132"/>
      <c r="G27" s="132"/>
      <c r="H27" s="132"/>
      <c r="I27" s="131"/>
      <c r="J27" s="150">
        <f>K10-J40</f>
        <v>16255</v>
      </c>
      <c r="K27" s="134">
        <f>K40*8%</f>
        <v>5498.5704712041888</v>
      </c>
      <c r="L27" s="131"/>
      <c r="M27" s="131"/>
      <c r="N27" s="40">
        <f>100-(J40/K10*100)</f>
        <v>32.226407613005549</v>
      </c>
      <c r="R27" s="175" t="s">
        <v>115</v>
      </c>
      <c r="S27" s="176"/>
      <c r="T27" s="177">
        <f t="shared" ref="T27:T34" si="7">S27/1000</f>
        <v>0</v>
      </c>
      <c r="U27" s="172"/>
    </row>
    <row r="28" spans="2:23" ht="15.75" thickBot="1" x14ac:dyDescent="0.3">
      <c r="B28" s="35" t="s">
        <v>30</v>
      </c>
      <c r="C28" s="145"/>
      <c r="D28" s="145"/>
      <c r="E28" s="145"/>
      <c r="F28" s="145"/>
      <c r="G28" s="145"/>
      <c r="H28" s="145"/>
      <c r="I28" s="145"/>
      <c r="J28" s="151">
        <f>J40+J27-K10</f>
        <v>0</v>
      </c>
      <c r="K28" s="95">
        <f>K20-K27-K40</f>
        <v>98190.636522702524</v>
      </c>
      <c r="L28" s="131"/>
      <c r="M28" s="131"/>
      <c r="N28" s="1" t="str">
        <f>IF(N27&gt;10,"OBS! HÖGA FÖRLUSTER","OK")</f>
        <v>OBS! HÖGA FÖRLUSTER</v>
      </c>
      <c r="R28" s="51" t="s">
        <v>116</v>
      </c>
      <c r="S28" s="52">
        <f>K27</f>
        <v>5498.5704712041888</v>
      </c>
      <c r="T28" s="178">
        <f t="shared" si="7"/>
        <v>5.4985704712041885</v>
      </c>
      <c r="U28" s="172"/>
    </row>
    <row r="29" spans="2:23" ht="15.75" thickBot="1" x14ac:dyDescent="0.3"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R29" s="51" t="s">
        <v>117</v>
      </c>
      <c r="S29" s="52">
        <f>J27</f>
        <v>16255</v>
      </c>
      <c r="T29" s="178">
        <f t="shared" si="7"/>
        <v>16.254999999999999</v>
      </c>
      <c r="U29" s="50"/>
    </row>
    <row r="30" spans="2:23" ht="15.75" thickBot="1" x14ac:dyDescent="0.3">
      <c r="B30" s="8"/>
      <c r="C30" s="152" t="s">
        <v>0</v>
      </c>
      <c r="D30" s="152"/>
      <c r="E30" s="152"/>
      <c r="F30" s="152" t="s">
        <v>1</v>
      </c>
      <c r="G30" s="152"/>
      <c r="H30" s="152"/>
      <c r="I30" s="147"/>
      <c r="J30" s="147"/>
      <c r="K30" s="147"/>
      <c r="L30" s="153"/>
      <c r="M30" s="131"/>
      <c r="R30" s="51" t="s">
        <v>118</v>
      </c>
      <c r="S30" s="52">
        <f>L20-K20</f>
        <v>1576.6020763837732</v>
      </c>
      <c r="T30" s="178">
        <f t="shared" si="7"/>
        <v>1.5766020763837731</v>
      </c>
      <c r="U30" s="55"/>
    </row>
    <row r="31" spans="2:23" ht="30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154" t="s">
        <v>32</v>
      </c>
      <c r="K31" s="154" t="s">
        <v>33</v>
      </c>
      <c r="L31" s="155" t="s">
        <v>34</v>
      </c>
      <c r="M31" s="131"/>
      <c r="R31" s="51" t="s">
        <v>119</v>
      </c>
      <c r="S31" s="52">
        <f>M4</f>
        <v>-72.829268292676716</v>
      </c>
      <c r="T31" s="178">
        <f t="shared" si="7"/>
        <v>-7.2829268292676719E-2</v>
      </c>
      <c r="U31" s="55"/>
    </row>
    <row r="32" spans="2:23" ht="17.25" x14ac:dyDescent="0.4">
      <c r="B32" s="19" t="s">
        <v>35</v>
      </c>
      <c r="C32" s="156">
        <v>554</v>
      </c>
      <c r="D32" s="132">
        <v>0</v>
      </c>
      <c r="E32" s="132">
        <v>0</v>
      </c>
      <c r="F32" s="156">
        <v>25</v>
      </c>
      <c r="G32" s="156"/>
      <c r="H32" s="132">
        <v>0</v>
      </c>
      <c r="I32" s="132">
        <v>0</v>
      </c>
      <c r="J32" s="132">
        <v>0</v>
      </c>
      <c r="K32" s="132">
        <v>850</v>
      </c>
      <c r="L32" s="134">
        <f>SUM(C32:K32)</f>
        <v>1429</v>
      </c>
      <c r="M32" s="131"/>
      <c r="R32" s="51" t="s">
        <v>120</v>
      </c>
      <c r="S32" s="52">
        <f>M5</f>
        <v>0</v>
      </c>
      <c r="T32" s="178">
        <f t="shared" si="7"/>
        <v>0</v>
      </c>
      <c r="U32"/>
    </row>
    <row r="33" spans="2:40" ht="17.25" x14ac:dyDescent="0.4">
      <c r="B33" s="19" t="s">
        <v>36</v>
      </c>
      <c r="C33" s="156">
        <v>142</v>
      </c>
      <c r="D33" s="132">
        <v>0</v>
      </c>
      <c r="E33" s="132">
        <v>0</v>
      </c>
      <c r="F33" s="156">
        <v>35</v>
      </c>
      <c r="G33" s="156"/>
      <c r="H33" s="132">
        <v>0</v>
      </c>
      <c r="I33" s="132">
        <v>0</v>
      </c>
      <c r="J33" s="156">
        <v>10800</v>
      </c>
      <c r="K33" s="132">
        <v>43564</v>
      </c>
      <c r="L33" s="166">
        <f t="shared" ref="L33:L40" si="8">SUM(C33:K33)</f>
        <v>54541</v>
      </c>
      <c r="M33" s="131"/>
      <c r="R33" s="51" t="s">
        <v>121</v>
      </c>
      <c r="S33" s="52">
        <f>M15</f>
        <v>0</v>
      </c>
      <c r="T33" s="178">
        <f t="shared" si="7"/>
        <v>0</v>
      </c>
      <c r="U33" s="55"/>
    </row>
    <row r="34" spans="2:40" ht="18" thickBot="1" x14ac:dyDescent="0.45">
      <c r="B34" s="19" t="s">
        <v>37</v>
      </c>
      <c r="C34" s="132">
        <v>0</v>
      </c>
      <c r="D34" s="132">
        <v>0</v>
      </c>
      <c r="E34" s="132">
        <v>0</v>
      </c>
      <c r="F34" s="132">
        <v>0</v>
      </c>
      <c r="G34" s="132"/>
      <c r="H34" s="132">
        <v>0</v>
      </c>
      <c r="I34" s="132">
        <v>0</v>
      </c>
      <c r="J34" s="156">
        <v>2697.1308900523563</v>
      </c>
      <c r="K34" s="132">
        <v>3096</v>
      </c>
      <c r="L34" s="166">
        <f t="shared" si="8"/>
        <v>5793.1308900523563</v>
      </c>
      <c r="M34" s="131"/>
      <c r="R34" s="56" t="s">
        <v>122</v>
      </c>
      <c r="S34" s="179">
        <f>M16</f>
        <v>1535.0766909730955</v>
      </c>
      <c r="T34" s="180">
        <f t="shared" si="7"/>
        <v>1.5350766909730955</v>
      </c>
      <c r="U34" s="55"/>
    </row>
    <row r="35" spans="2:40" ht="17.25" x14ac:dyDescent="0.4">
      <c r="B35" s="19" t="s">
        <v>38</v>
      </c>
      <c r="C35" s="132">
        <v>42736</v>
      </c>
      <c r="D35" s="132">
        <v>0</v>
      </c>
      <c r="E35" s="132">
        <v>0</v>
      </c>
      <c r="F35" s="156">
        <v>3846</v>
      </c>
      <c r="G35" s="156"/>
      <c r="H35" s="132">
        <v>0</v>
      </c>
      <c r="I35" s="132">
        <v>0</v>
      </c>
      <c r="J35" s="132">
        <v>0</v>
      </c>
      <c r="K35" s="132">
        <v>1</v>
      </c>
      <c r="L35" s="134">
        <f t="shared" si="8"/>
        <v>46583</v>
      </c>
      <c r="M35" s="131"/>
      <c r="R35" s="173" t="s">
        <v>123</v>
      </c>
      <c r="S35" s="181">
        <f>SUM(S28:S34)</f>
        <v>24792.41997026838</v>
      </c>
      <c r="T35" s="182">
        <f>SUM(T28:T34)</f>
        <v>24.79241997026838</v>
      </c>
      <c r="U35" s="55"/>
    </row>
    <row r="36" spans="2:40" ht="17.25" x14ac:dyDescent="0.4">
      <c r="B36" s="19" t="s">
        <v>39</v>
      </c>
      <c r="C36" s="156">
        <v>15</v>
      </c>
      <c r="D36" s="132">
        <v>0</v>
      </c>
      <c r="E36" s="132">
        <v>0</v>
      </c>
      <c r="F36" s="132">
        <v>0</v>
      </c>
      <c r="G36" s="132"/>
      <c r="H36" s="132">
        <v>0</v>
      </c>
      <c r="I36" s="132">
        <v>0</v>
      </c>
      <c r="J36" s="156">
        <v>1702.8691099476441</v>
      </c>
      <c r="K36" s="156">
        <v>6868.1308900523563</v>
      </c>
      <c r="L36" s="134">
        <f t="shared" si="8"/>
        <v>8586</v>
      </c>
      <c r="M36" s="131"/>
      <c r="R36" s="173" t="s">
        <v>124</v>
      </c>
      <c r="S36"/>
      <c r="T36" s="60">
        <f>T26+T35+T19</f>
        <v>281.03618738302328</v>
      </c>
    </row>
    <row r="37" spans="2:40" ht="17.25" x14ac:dyDescent="0.4">
      <c r="B37" s="19" t="s">
        <v>40</v>
      </c>
      <c r="C37" s="132">
        <v>274</v>
      </c>
      <c r="D37" s="132">
        <v>0</v>
      </c>
      <c r="E37" s="132">
        <v>0</v>
      </c>
      <c r="F37" s="132">
        <v>0</v>
      </c>
      <c r="G37" s="132"/>
      <c r="H37" s="156">
        <v>7509</v>
      </c>
      <c r="I37" s="132">
        <v>0</v>
      </c>
      <c r="J37" s="156">
        <v>10485</v>
      </c>
      <c r="K37" s="132">
        <v>12349</v>
      </c>
      <c r="L37" s="223">
        <f t="shared" si="8"/>
        <v>30617</v>
      </c>
      <c r="M37" s="131"/>
      <c r="R37" s="1" t="s">
        <v>125</v>
      </c>
      <c r="S37"/>
      <c r="T37" s="183">
        <f>T17-T36</f>
        <v>8.3917525773196076</v>
      </c>
      <c r="U37"/>
    </row>
    <row r="38" spans="2:40" ht="17.25" x14ac:dyDescent="0.4">
      <c r="B38" s="19" t="s">
        <v>41</v>
      </c>
      <c r="C38" s="132">
        <v>0</v>
      </c>
      <c r="D38" s="132">
        <v>0</v>
      </c>
      <c r="E38" s="132">
        <v>0</v>
      </c>
      <c r="F38" s="132">
        <v>0</v>
      </c>
      <c r="G38" s="132"/>
      <c r="H38" s="132">
        <v>0</v>
      </c>
      <c r="I38" s="132">
        <v>0</v>
      </c>
      <c r="J38" s="156">
        <v>8500</v>
      </c>
      <c r="K38" s="132">
        <v>1628</v>
      </c>
      <c r="L38" s="166">
        <f t="shared" si="8"/>
        <v>10128</v>
      </c>
      <c r="M38" s="157"/>
      <c r="O38" s="6"/>
      <c r="P38" s="6"/>
      <c r="Q38" s="6"/>
      <c r="R38" s="173" t="s">
        <v>124</v>
      </c>
      <c r="S38"/>
      <c r="T38" s="60">
        <f>T28+T37+T21</f>
        <v>68.431323048523794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132">
        <v>0</v>
      </c>
      <c r="D39" s="132">
        <v>0</v>
      </c>
      <c r="E39" s="132">
        <v>0</v>
      </c>
      <c r="F39" s="132">
        <v>0</v>
      </c>
      <c r="G39" s="132"/>
      <c r="H39" s="132">
        <v>0</v>
      </c>
      <c r="I39" s="132">
        <v>0</v>
      </c>
      <c r="J39" s="132">
        <v>0</v>
      </c>
      <c r="K39" s="132">
        <v>376</v>
      </c>
      <c r="L39" s="134">
        <f t="shared" si="8"/>
        <v>376</v>
      </c>
      <c r="M39" s="131"/>
      <c r="S39" s="172"/>
      <c r="T39" s="184"/>
      <c r="U39" s="172"/>
    </row>
    <row r="40" spans="2:40" ht="17.25" x14ac:dyDescent="0.4">
      <c r="B40" s="19" t="s">
        <v>43</v>
      </c>
      <c r="C40" s="150">
        <f>SUM(C32:C39)</f>
        <v>43721</v>
      </c>
      <c r="D40" s="150">
        <f t="shared" ref="D40:K40" si="9">SUM(D32:D39)</f>
        <v>0</v>
      </c>
      <c r="E40" s="150">
        <f t="shared" si="9"/>
        <v>0</v>
      </c>
      <c r="F40" s="150">
        <f t="shared" si="9"/>
        <v>3906</v>
      </c>
      <c r="G40" s="150">
        <f t="shared" ref="G40" si="10">SUM(G32:G39)</f>
        <v>0</v>
      </c>
      <c r="H40" s="158">
        <f t="shared" si="9"/>
        <v>7509</v>
      </c>
      <c r="I40" s="150">
        <f t="shared" si="9"/>
        <v>0</v>
      </c>
      <c r="J40" s="150">
        <f t="shared" si="9"/>
        <v>34185</v>
      </c>
      <c r="K40" s="158">
        <f t="shared" si="9"/>
        <v>68732.130890052358</v>
      </c>
      <c r="L40" s="223">
        <f t="shared" si="8"/>
        <v>158053.13089005236</v>
      </c>
      <c r="M40" s="131"/>
    </row>
    <row r="41" spans="2:40" x14ac:dyDescent="0.25">
      <c r="B41" s="19" t="s">
        <v>44</v>
      </c>
      <c r="C41" s="150">
        <f>SUM(C37:C39)</f>
        <v>274</v>
      </c>
      <c r="D41" s="150">
        <f t="shared" ref="D41:L41" si="11">SUM(D37:D39)</f>
        <v>0</v>
      </c>
      <c r="E41" s="150">
        <f t="shared" si="11"/>
        <v>0</v>
      </c>
      <c r="F41" s="150">
        <f t="shared" si="11"/>
        <v>0</v>
      </c>
      <c r="G41" s="150">
        <f t="shared" ref="G41" si="12">SUM(G37:G39)</f>
        <v>0</v>
      </c>
      <c r="H41" s="150">
        <f t="shared" si="11"/>
        <v>7509</v>
      </c>
      <c r="I41" s="150">
        <f t="shared" si="11"/>
        <v>0</v>
      </c>
      <c r="J41" s="150">
        <f t="shared" si="11"/>
        <v>18985</v>
      </c>
      <c r="K41" s="150">
        <f t="shared" si="11"/>
        <v>14353</v>
      </c>
      <c r="L41" s="150">
        <f t="shared" si="11"/>
        <v>41121</v>
      </c>
      <c r="M41" s="131"/>
    </row>
    <row r="42" spans="2:40" x14ac:dyDescent="0.25">
      <c r="B42" s="24"/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2:40" ht="15.75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6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3"/>
  <sheetViews>
    <sheetView zoomScale="70" zoomScaleNormal="70" workbookViewId="0">
      <selection activeCell="L20" sqref="L20:M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3.5703125" style="1" bestFit="1" customWidth="1"/>
    <col min="4" max="5" width="9.28515625" style="1" bestFit="1" customWidth="1"/>
    <col min="6" max="6" width="12.42578125" style="1" bestFit="1" customWidth="1"/>
    <col min="7" max="7" width="12.42578125" style="1" customWidth="1"/>
    <col min="8" max="8" width="13.5703125" style="1" bestFit="1" customWidth="1"/>
    <col min="9" max="9" width="9.2851562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6" style="1" bestFit="1" customWidth="1"/>
    <col min="19" max="19" width="12.85546875" style="1" bestFit="1" customWidth="1"/>
    <col min="20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70">
        <v>0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  <c r="J4" s="70">
        <v>0</v>
      </c>
      <c r="K4" s="73">
        <v>0</v>
      </c>
      <c r="L4" s="167">
        <f>K4/(K4+K5)</f>
        <v>0</v>
      </c>
      <c r="M4" s="71">
        <f>J4-K4</f>
        <v>0</v>
      </c>
      <c r="N4" s="1"/>
      <c r="O4" s="6"/>
      <c r="P4" s="6"/>
      <c r="Q4" s="6"/>
      <c r="R4" s="51" t="s">
        <v>105</v>
      </c>
      <c r="S4" s="21">
        <f>L20</f>
        <v>4473.7903225806449</v>
      </c>
      <c r="T4" s="171">
        <f>S4/1000</f>
        <v>4.473790322580645</v>
      </c>
      <c r="U4" s="172"/>
      <c r="W4" s="1"/>
    </row>
    <row r="5" spans="2:23" s="7" customFormat="1" ht="17.25" x14ac:dyDescent="0.4">
      <c r="B5" s="19" t="s">
        <v>9</v>
      </c>
      <c r="C5" s="117">
        <v>6029</v>
      </c>
      <c r="D5" s="70">
        <v>0</v>
      </c>
      <c r="E5" s="70">
        <v>0</v>
      </c>
      <c r="F5" s="70">
        <v>0</v>
      </c>
      <c r="G5" s="70">
        <v>0</v>
      </c>
      <c r="H5" s="117">
        <v>20378</v>
      </c>
      <c r="I5" s="70">
        <v>0</v>
      </c>
      <c r="J5" s="117">
        <v>26407</v>
      </c>
      <c r="K5" s="118">
        <v>17351</v>
      </c>
      <c r="L5" s="167">
        <f>K5/(K4+K5)</f>
        <v>1</v>
      </c>
      <c r="M5" s="71">
        <f>J5-K5</f>
        <v>9056</v>
      </c>
      <c r="N5" s="1"/>
      <c r="O5" s="6"/>
      <c r="P5" s="6"/>
      <c r="Q5" s="6"/>
      <c r="R5" s="7" t="s">
        <v>106</v>
      </c>
      <c r="S5" s="21">
        <f>IF(K28&gt;0,0,K28)*-1</f>
        <v>49688.36</v>
      </c>
      <c r="T5" s="171">
        <f>S5/1000</f>
        <v>49.688360000000003</v>
      </c>
      <c r="W5" s="1"/>
    </row>
    <row r="6" spans="2:23" s="7" customFormat="1" x14ac:dyDescent="0.25">
      <c r="B6" s="19" t="s">
        <v>10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3">
        <v>0</v>
      </c>
      <c r="L6" s="119"/>
      <c r="M6" s="71"/>
      <c r="N6" s="1"/>
      <c r="O6" s="6"/>
      <c r="P6" s="6"/>
      <c r="Q6" s="6"/>
      <c r="R6" s="51" t="s">
        <v>104</v>
      </c>
      <c r="S6" s="171">
        <f>H10+H20+H40</f>
        <v>37231</v>
      </c>
      <c r="T6" s="171">
        <f>S6/1000</f>
        <v>37.231000000000002</v>
      </c>
      <c r="U6" s="172"/>
      <c r="W6" s="1"/>
    </row>
    <row r="7" spans="2:23" s="7" customFormat="1" x14ac:dyDescent="0.25">
      <c r="B7" s="19" t="s">
        <v>11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3">
        <v>0</v>
      </c>
      <c r="L7" s="119"/>
      <c r="M7" s="71"/>
      <c r="N7" s="1"/>
      <c r="O7" s="6"/>
      <c r="P7" s="6"/>
      <c r="Q7" s="6"/>
      <c r="R7" s="51" t="s">
        <v>56</v>
      </c>
      <c r="S7" s="171">
        <f>D10+D20+D40</f>
        <v>0</v>
      </c>
      <c r="T7" s="171">
        <f>S7/1000</f>
        <v>0</v>
      </c>
      <c r="U7" s="172"/>
      <c r="V7" s="6"/>
      <c r="W7" s="1"/>
    </row>
    <row r="8" spans="2:23" s="7" customFormat="1" x14ac:dyDescent="0.25">
      <c r="B8" s="19" t="s">
        <v>12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3">
        <v>0</v>
      </c>
      <c r="L8" s="119"/>
      <c r="M8" s="71"/>
      <c r="N8" s="1"/>
      <c r="O8" s="6"/>
      <c r="P8" s="6"/>
      <c r="Q8" s="6"/>
      <c r="R8" s="51" t="s">
        <v>58</v>
      </c>
      <c r="S8" s="171">
        <f>G10+G20+G40</f>
        <v>0</v>
      </c>
      <c r="T8" s="171">
        <f t="shared" ref="T8:T12" si="0">S8/1000</f>
        <v>0</v>
      </c>
      <c r="U8" s="172"/>
      <c r="V8" s="6"/>
      <c r="W8" s="1"/>
    </row>
    <row r="9" spans="2:23" s="7" customFormat="1" x14ac:dyDescent="0.25">
      <c r="B9" s="19" t="s">
        <v>13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3">
        <v>0</v>
      </c>
      <c r="L9" s="119"/>
      <c r="M9" s="71"/>
      <c r="N9" s="1"/>
      <c r="O9" s="6"/>
      <c r="P9" s="6"/>
      <c r="Q9" s="6"/>
      <c r="R9" s="51" t="s">
        <v>59</v>
      </c>
      <c r="S9" s="171">
        <f>E10+E20+E40</f>
        <v>0</v>
      </c>
      <c r="T9" s="171">
        <f t="shared" si="0"/>
        <v>0</v>
      </c>
      <c r="U9" s="172"/>
      <c r="V9" s="6"/>
      <c r="W9" s="1"/>
    </row>
    <row r="10" spans="2:23" s="7" customFormat="1" ht="17.25" x14ac:dyDescent="0.4">
      <c r="B10" s="19" t="s">
        <v>14</v>
      </c>
      <c r="C10" s="118">
        <f t="shared" ref="C10:K10" si="1">SUM(C4:C9)</f>
        <v>6029</v>
      </c>
      <c r="D10" s="73">
        <f t="shared" si="1"/>
        <v>0</v>
      </c>
      <c r="E10" s="73">
        <f t="shared" si="1"/>
        <v>0</v>
      </c>
      <c r="F10" s="73">
        <f t="shared" si="1"/>
        <v>0</v>
      </c>
      <c r="G10" s="73">
        <f t="shared" ref="G10" si="2">SUM(G4:G9)</f>
        <v>0</v>
      </c>
      <c r="H10" s="118">
        <f t="shared" si="1"/>
        <v>20378</v>
      </c>
      <c r="I10" s="73">
        <f t="shared" si="1"/>
        <v>0</v>
      </c>
      <c r="J10" s="118">
        <f t="shared" si="1"/>
        <v>26407</v>
      </c>
      <c r="K10" s="118">
        <f t="shared" si="1"/>
        <v>17351</v>
      </c>
      <c r="L10" s="119"/>
      <c r="M10" s="71">
        <f>SUM(M4:M9)</f>
        <v>9056</v>
      </c>
      <c r="N10" s="1"/>
      <c r="O10" s="6"/>
      <c r="P10" s="6"/>
      <c r="Q10" s="6"/>
      <c r="R10" s="51" t="s">
        <v>25</v>
      </c>
      <c r="S10" s="171">
        <f>I10+I20+I40</f>
        <v>0</v>
      </c>
      <c r="T10" s="171">
        <f t="shared" si="0"/>
        <v>0</v>
      </c>
      <c r="U10" s="172"/>
      <c r="V10" s="6"/>
      <c r="W10" s="1"/>
    </row>
    <row r="11" spans="2:23" s="7" customFormat="1" x14ac:dyDescent="0.25">
      <c r="B11" s="22"/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120"/>
      <c r="N11" s="1"/>
      <c r="O11" s="6"/>
      <c r="P11" s="6"/>
      <c r="Q11" s="6"/>
      <c r="R11" s="51" t="s">
        <v>60</v>
      </c>
      <c r="S11" s="171">
        <f>F10+F20+F40</f>
        <v>1934</v>
      </c>
      <c r="T11" s="171">
        <f t="shared" si="0"/>
        <v>1.9339999999999999</v>
      </c>
      <c r="U11" s="172"/>
      <c r="V11" s="6"/>
      <c r="W11" s="1"/>
    </row>
    <row r="12" spans="2:23" s="7" customFormat="1" x14ac:dyDescent="0.25">
      <c r="B12" s="23" t="s">
        <v>15</v>
      </c>
      <c r="C12" s="75"/>
      <c r="D12" s="75"/>
      <c r="E12" s="75"/>
      <c r="F12" s="75"/>
      <c r="G12" s="75"/>
      <c r="H12" s="75"/>
      <c r="I12" s="75"/>
      <c r="J12" s="119"/>
      <c r="K12" s="119"/>
      <c r="L12" s="76"/>
      <c r="M12" s="120"/>
      <c r="N12" s="1"/>
      <c r="O12" s="6"/>
      <c r="P12" s="6"/>
      <c r="Q12" s="6"/>
      <c r="R12" s="51" t="s">
        <v>61</v>
      </c>
      <c r="S12" s="171">
        <f>C10+C20+C40</f>
        <v>29316.5</v>
      </c>
      <c r="T12" s="171">
        <f t="shared" si="0"/>
        <v>29.316500000000001</v>
      </c>
      <c r="U12" s="172"/>
      <c r="V12" s="6"/>
      <c r="W12" s="1"/>
    </row>
    <row r="13" spans="2:23" x14ac:dyDescent="0.25">
      <c r="B13" s="2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21"/>
      <c r="N13" s="6"/>
      <c r="R13" s="173" t="s">
        <v>108</v>
      </c>
      <c r="S13" s="171">
        <f>SUM(S4:S12)</f>
        <v>122643.65032258065</v>
      </c>
      <c r="T13" s="171">
        <f>SUM(T4:T12)</f>
        <v>122.64365032258065</v>
      </c>
      <c r="U13" s="172"/>
    </row>
    <row r="14" spans="2:23" ht="18.75" x14ac:dyDescent="0.3">
      <c r="B14" s="26" t="s">
        <v>16</v>
      </c>
      <c r="C14" s="122"/>
      <c r="D14" s="122"/>
      <c r="E14" s="122"/>
      <c r="F14" s="122"/>
      <c r="G14" s="122"/>
      <c r="H14" s="122"/>
      <c r="I14" s="122"/>
      <c r="J14" s="122"/>
      <c r="K14" s="101" t="s">
        <v>17</v>
      </c>
      <c r="L14" s="123" t="s">
        <v>18</v>
      </c>
      <c r="M14" s="124"/>
      <c r="N14" s="27" t="s">
        <v>19</v>
      </c>
      <c r="O14" s="28"/>
      <c r="R14" t="s">
        <v>109</v>
      </c>
      <c r="S14" s="59">
        <f>K8</f>
        <v>0</v>
      </c>
      <c r="T14" s="59">
        <f>S14/1000</f>
        <v>0</v>
      </c>
      <c r="U14" s="172"/>
      <c r="V14"/>
    </row>
    <row r="15" spans="2:23" x14ac:dyDescent="0.25">
      <c r="B15" s="19" t="s">
        <v>20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125">
        <f>K15/(1-N15)</f>
        <v>0</v>
      </c>
      <c r="M15" s="126">
        <f>J15-L15</f>
        <v>0</v>
      </c>
      <c r="N15" s="29">
        <v>0.03</v>
      </c>
      <c r="P15" s="30"/>
      <c r="R15" t="s">
        <v>110</v>
      </c>
      <c r="S15" s="59">
        <f>K9</f>
        <v>0</v>
      </c>
      <c r="T15" s="59">
        <f t="shared" ref="T15:T16" si="3">S15/1000</f>
        <v>0</v>
      </c>
      <c r="U15" s="172"/>
      <c r="V15"/>
    </row>
    <row r="16" spans="2:23" x14ac:dyDescent="0.25">
      <c r="B16" s="19" t="s">
        <v>21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125">
        <f>K16/(1-N16)</f>
        <v>0</v>
      </c>
      <c r="M16" s="126">
        <f>J16-L16</f>
        <v>0</v>
      </c>
      <c r="N16" s="29">
        <v>0.03</v>
      </c>
      <c r="P16" s="30"/>
      <c r="R16" t="s">
        <v>111</v>
      </c>
      <c r="S16" s="59">
        <f>K6+K7</f>
        <v>0</v>
      </c>
      <c r="T16" s="59">
        <f t="shared" si="3"/>
        <v>0</v>
      </c>
      <c r="U16" s="172"/>
      <c r="V16" s="6"/>
    </row>
    <row r="17" spans="2:23" x14ac:dyDescent="0.25">
      <c r="B17" s="19" t="s">
        <v>22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125">
        <f>K17/(1-N17)</f>
        <v>0</v>
      </c>
      <c r="M17" s="126">
        <f>J17-L17</f>
        <v>0</v>
      </c>
      <c r="N17" s="29">
        <v>0.03</v>
      </c>
      <c r="P17" s="30"/>
      <c r="R17" t="s">
        <v>112</v>
      </c>
      <c r="S17" s="59">
        <f>SUM(S13:S16)</f>
        <v>122643.65032258065</v>
      </c>
      <c r="T17" s="59">
        <f>SUM(T13:T16)</f>
        <v>122.64365032258065</v>
      </c>
      <c r="U17" s="172"/>
      <c r="V17" s="6"/>
      <c r="W17" s="6"/>
    </row>
    <row r="18" spans="2:23" x14ac:dyDescent="0.25">
      <c r="B18" s="19" t="s">
        <v>23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4438</v>
      </c>
      <c r="L18" s="125">
        <f>K18/(1-N18)</f>
        <v>4473.7903225806449</v>
      </c>
      <c r="M18" s="126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125">
        <f>K19/(1-N19)</f>
        <v>0</v>
      </c>
      <c r="M19" s="126"/>
      <c r="N19" s="1">
        <v>0</v>
      </c>
      <c r="P19" s="30"/>
      <c r="R19" s="19" t="s">
        <v>113</v>
      </c>
      <c r="S19" s="21">
        <f>IF(K28&lt;0,0,K28)</f>
        <v>0</v>
      </c>
      <c r="T19" s="171">
        <f t="shared" ref="T19:T25" si="4">S19/1000</f>
        <v>0</v>
      </c>
      <c r="U19"/>
      <c r="V19" s="6"/>
    </row>
    <row r="20" spans="2:23" x14ac:dyDescent="0.25">
      <c r="B20" s="19" t="s">
        <v>14</v>
      </c>
      <c r="C20" s="73">
        <f t="shared" ref="C20:J20" si="5">SUM(C15:C19)</f>
        <v>0</v>
      </c>
      <c r="D20" s="73">
        <f t="shared" si="5"/>
        <v>0</v>
      </c>
      <c r="E20" s="73">
        <f t="shared" si="5"/>
        <v>0</v>
      </c>
      <c r="F20" s="73">
        <f t="shared" si="5"/>
        <v>0</v>
      </c>
      <c r="G20" s="73">
        <f t="shared" ref="G20" si="6">SUM(G15:G19)</f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>SUM(K15:K19)</f>
        <v>4438</v>
      </c>
      <c r="L20" s="86">
        <f>SUM(L15:L19)</f>
        <v>4473.7903225806449</v>
      </c>
      <c r="M20" s="86">
        <f>SUM(M15:M19)</f>
        <v>0</v>
      </c>
      <c r="N20" s="32"/>
      <c r="O20" s="33"/>
      <c r="P20" s="30"/>
      <c r="R20" s="19" t="s">
        <v>35</v>
      </c>
      <c r="S20" s="174">
        <f>L32</f>
        <v>4954</v>
      </c>
      <c r="T20" s="171">
        <f t="shared" si="4"/>
        <v>4.9539999999999997</v>
      </c>
      <c r="U20"/>
      <c r="V20" s="6"/>
    </row>
    <row r="21" spans="2:23" x14ac:dyDescent="0.25">
      <c r="B21" s="24"/>
      <c r="C21" s="73"/>
      <c r="D21" s="73"/>
      <c r="E21" s="73"/>
      <c r="F21" s="73"/>
      <c r="G21" s="73"/>
      <c r="H21" s="73"/>
      <c r="I21" s="73"/>
      <c r="J21" s="73"/>
      <c r="K21" s="73"/>
      <c r="L21" s="70"/>
      <c r="M21" s="121"/>
      <c r="N21" s="30"/>
      <c r="R21" s="19" t="s">
        <v>36</v>
      </c>
      <c r="S21" s="174">
        <f>L33</f>
        <v>21994</v>
      </c>
      <c r="T21" s="171">
        <f t="shared" si="4"/>
        <v>21.994</v>
      </c>
      <c r="U21" s="172"/>
    </row>
    <row r="22" spans="2:23" x14ac:dyDescent="0.25">
      <c r="B22" s="2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121"/>
      <c r="R22" s="19" t="s">
        <v>37</v>
      </c>
      <c r="S22" s="174">
        <f>L34</f>
        <v>7557</v>
      </c>
      <c r="T22" s="171">
        <f t="shared" si="4"/>
        <v>7.5570000000000004</v>
      </c>
      <c r="U22" s="172"/>
    </row>
    <row r="23" spans="2:23" ht="15.75" thickBot="1" x14ac:dyDescent="0.3">
      <c r="B23" s="35" t="s">
        <v>25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27"/>
      <c r="R23" s="19" t="s">
        <v>38</v>
      </c>
      <c r="S23" s="174">
        <f>L35</f>
        <v>21490</v>
      </c>
      <c r="T23" s="171">
        <f t="shared" si="4"/>
        <v>21.49</v>
      </c>
      <c r="U23" s="172"/>
    </row>
    <row r="24" spans="2:23" x14ac:dyDescent="0.25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R24" s="19" t="s">
        <v>39</v>
      </c>
      <c r="S24" s="174">
        <f>L36</f>
        <v>7743</v>
      </c>
      <c r="T24" s="171">
        <f t="shared" si="4"/>
        <v>7.7430000000000003</v>
      </c>
      <c r="U24" s="172"/>
    </row>
    <row r="25" spans="2:23" ht="15.75" thickBot="1" x14ac:dyDescent="0.3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R25" s="19" t="s">
        <v>44</v>
      </c>
      <c r="S25" s="174">
        <f>L41</f>
        <v>45804.5</v>
      </c>
      <c r="T25" s="171">
        <f t="shared" si="4"/>
        <v>45.804499999999997</v>
      </c>
      <c r="U25" s="172"/>
    </row>
    <row r="26" spans="2:23" ht="15.75" thickBot="1" x14ac:dyDescent="0.3">
      <c r="B26" s="8"/>
      <c r="C26" s="90"/>
      <c r="D26" s="90"/>
      <c r="E26" s="90"/>
      <c r="F26" s="90"/>
      <c r="G26" s="90"/>
      <c r="H26" s="90"/>
      <c r="I26" s="70"/>
      <c r="J26" s="91" t="s">
        <v>26</v>
      </c>
      <c r="K26" s="92" t="s">
        <v>27</v>
      </c>
      <c r="L26" s="70"/>
      <c r="M26" s="70"/>
      <c r="N26" s="38" t="s">
        <v>28</v>
      </c>
      <c r="R26" s="19" t="s">
        <v>114</v>
      </c>
      <c r="S26" s="60">
        <f>SUM(S20:S25)</f>
        <v>109542.5</v>
      </c>
      <c r="T26" s="60">
        <f>SUM(T20:T25)</f>
        <v>109.5425</v>
      </c>
      <c r="U26" s="172"/>
    </row>
    <row r="27" spans="2:23" x14ac:dyDescent="0.25">
      <c r="B27" s="39" t="s">
        <v>29</v>
      </c>
      <c r="C27" s="73"/>
      <c r="D27" s="73"/>
      <c r="E27" s="73"/>
      <c r="F27" s="73"/>
      <c r="G27" s="73"/>
      <c r="H27" s="73"/>
      <c r="I27" s="70"/>
      <c r="J27" s="69">
        <f>K10-J40</f>
        <v>0</v>
      </c>
      <c r="K27" s="134">
        <f>K40*8%</f>
        <v>4009.36</v>
      </c>
      <c r="L27" s="70"/>
      <c r="M27" s="70"/>
      <c r="N27" s="40">
        <f>100-(J40/K10*100)</f>
        <v>0</v>
      </c>
      <c r="R27" s="175" t="s">
        <v>115</v>
      </c>
      <c r="S27" s="176"/>
      <c r="T27" s="177">
        <f t="shared" ref="T27:T34" si="7">S27/1000</f>
        <v>0</v>
      </c>
      <c r="U27" s="172"/>
    </row>
    <row r="28" spans="2:23" ht="15.75" thickBot="1" x14ac:dyDescent="0.3">
      <c r="B28" s="35" t="s">
        <v>30</v>
      </c>
      <c r="C28" s="93"/>
      <c r="D28" s="93"/>
      <c r="E28" s="93"/>
      <c r="F28" s="93"/>
      <c r="G28" s="93"/>
      <c r="H28" s="93"/>
      <c r="I28" s="93"/>
      <c r="J28" s="94">
        <f>J40+J27-K10</f>
        <v>0</v>
      </c>
      <c r="K28" s="95">
        <f>K20-K27-K40</f>
        <v>-49688.36</v>
      </c>
      <c r="L28" s="70"/>
      <c r="M28" s="70"/>
      <c r="N28" s="1" t="str">
        <f>IF(N27&gt;10,"OBS! HÖGA FÖRLUSTER","OK")</f>
        <v>OK</v>
      </c>
      <c r="R28" s="51" t="s">
        <v>116</v>
      </c>
      <c r="S28" s="52">
        <f>K27</f>
        <v>4009.36</v>
      </c>
      <c r="T28" s="178">
        <f t="shared" si="7"/>
        <v>4.00936</v>
      </c>
      <c r="U28" s="172"/>
    </row>
    <row r="29" spans="2:23" ht="15.75" thickBot="1" x14ac:dyDescent="0.3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R29" s="51" t="s">
        <v>117</v>
      </c>
      <c r="S29" s="52">
        <f>J27</f>
        <v>0</v>
      </c>
      <c r="T29" s="178">
        <f t="shared" si="7"/>
        <v>0</v>
      </c>
      <c r="U29" s="50"/>
    </row>
    <row r="30" spans="2:23" ht="15.75" thickBot="1" x14ac:dyDescent="0.3">
      <c r="B30" s="8"/>
      <c r="C30" s="96" t="s">
        <v>0</v>
      </c>
      <c r="D30" s="96"/>
      <c r="E30" s="96"/>
      <c r="F30" s="96" t="s">
        <v>1</v>
      </c>
      <c r="G30" s="96"/>
      <c r="H30" s="96"/>
      <c r="I30" s="90"/>
      <c r="J30" s="90"/>
      <c r="K30" s="90"/>
      <c r="L30" s="97"/>
      <c r="M30" s="70"/>
      <c r="R30" s="51" t="s">
        <v>118</v>
      </c>
      <c r="S30" s="52">
        <f>L20-K20</f>
        <v>35.790322580644897</v>
      </c>
      <c r="T30" s="178">
        <f t="shared" si="7"/>
        <v>3.57903225806449E-2</v>
      </c>
      <c r="U30" s="55"/>
    </row>
    <row r="31" spans="2:23" ht="30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98" t="s">
        <v>32</v>
      </c>
      <c r="K31" s="98" t="s">
        <v>33</v>
      </c>
      <c r="L31" s="99" t="s">
        <v>34</v>
      </c>
      <c r="M31" s="70"/>
      <c r="R31" s="51" t="s">
        <v>119</v>
      </c>
      <c r="S31" s="52">
        <f>M4</f>
        <v>0</v>
      </c>
      <c r="T31" s="178">
        <f t="shared" si="7"/>
        <v>0</v>
      </c>
      <c r="U31" s="55"/>
    </row>
    <row r="32" spans="2:23" ht="17.25" x14ac:dyDescent="0.4">
      <c r="B32" s="19" t="s">
        <v>35</v>
      </c>
      <c r="C32" s="118">
        <v>2332</v>
      </c>
      <c r="D32" s="73">
        <v>0</v>
      </c>
      <c r="E32" s="73">
        <v>0</v>
      </c>
      <c r="F32" s="73">
        <v>232</v>
      </c>
      <c r="G32" s="73"/>
      <c r="H32" s="73">
        <v>0</v>
      </c>
      <c r="I32" s="73">
        <v>0</v>
      </c>
      <c r="J32" s="73">
        <v>0</v>
      </c>
      <c r="K32" s="73">
        <v>2390</v>
      </c>
      <c r="L32" s="129">
        <f>SUM(C32:K32)</f>
        <v>4954</v>
      </c>
      <c r="M32" s="70"/>
      <c r="R32" s="51" t="s">
        <v>120</v>
      </c>
      <c r="S32" s="52">
        <f>M5</f>
        <v>9056</v>
      </c>
      <c r="T32" s="178">
        <f t="shared" si="7"/>
        <v>9.0559999999999992</v>
      </c>
      <c r="U32"/>
    </row>
    <row r="33" spans="2:40" ht="17.25" x14ac:dyDescent="0.4">
      <c r="B33" s="19" t="s">
        <v>36</v>
      </c>
      <c r="C33" s="118">
        <v>613</v>
      </c>
      <c r="D33" s="73">
        <v>0</v>
      </c>
      <c r="E33" s="73">
        <v>0</v>
      </c>
      <c r="F33" s="73">
        <v>26</v>
      </c>
      <c r="G33" s="73"/>
      <c r="H33" s="73">
        <v>0</v>
      </c>
      <c r="I33" s="73">
        <v>0</v>
      </c>
      <c r="J33" s="118">
        <v>6361</v>
      </c>
      <c r="K33" s="73">
        <v>14994</v>
      </c>
      <c r="L33" s="209">
        <f t="shared" ref="L33:L40" si="8">SUM(C33:K33)</f>
        <v>21994</v>
      </c>
      <c r="M33" s="70"/>
      <c r="R33" s="51" t="s">
        <v>121</v>
      </c>
      <c r="S33" s="52">
        <f>M15</f>
        <v>0</v>
      </c>
      <c r="T33" s="178">
        <f t="shared" si="7"/>
        <v>0</v>
      </c>
      <c r="U33" s="55"/>
    </row>
    <row r="34" spans="2:40" ht="18" thickBot="1" x14ac:dyDescent="0.45">
      <c r="B34" s="19" t="s">
        <v>37</v>
      </c>
      <c r="C34" s="73">
        <v>0</v>
      </c>
      <c r="D34" s="73">
        <v>0</v>
      </c>
      <c r="E34" s="73">
        <v>0</v>
      </c>
      <c r="F34" s="73">
        <v>0</v>
      </c>
      <c r="G34" s="73"/>
      <c r="H34" s="73">
        <v>0</v>
      </c>
      <c r="I34" s="73">
        <v>0</v>
      </c>
      <c r="J34" s="118">
        <v>2940</v>
      </c>
      <c r="K34" s="73">
        <v>4617</v>
      </c>
      <c r="L34" s="129">
        <f t="shared" si="8"/>
        <v>7557</v>
      </c>
      <c r="M34" s="70"/>
      <c r="R34" s="56" t="s">
        <v>122</v>
      </c>
      <c r="S34" s="179">
        <f>M16</f>
        <v>0</v>
      </c>
      <c r="T34" s="180">
        <f t="shared" si="7"/>
        <v>0</v>
      </c>
      <c r="U34" s="55"/>
    </row>
    <row r="35" spans="2:40" x14ac:dyDescent="0.25">
      <c r="B35" s="19" t="s">
        <v>38</v>
      </c>
      <c r="C35" s="73">
        <v>19759</v>
      </c>
      <c r="D35" s="73">
        <v>0</v>
      </c>
      <c r="E35" s="73">
        <v>0</v>
      </c>
      <c r="F35" s="73">
        <v>1676</v>
      </c>
      <c r="G35" s="73"/>
      <c r="H35" s="73">
        <v>0</v>
      </c>
      <c r="I35" s="73">
        <v>0</v>
      </c>
      <c r="J35" s="73">
        <v>0</v>
      </c>
      <c r="K35" s="73">
        <v>55</v>
      </c>
      <c r="L35" s="71">
        <f t="shared" si="8"/>
        <v>21490</v>
      </c>
      <c r="M35" s="70"/>
      <c r="R35" s="173" t="s">
        <v>123</v>
      </c>
      <c r="S35" s="181">
        <f>SUM(S28:S34)</f>
        <v>13101.150322580645</v>
      </c>
      <c r="T35" s="182">
        <f>SUM(T28:T34)</f>
        <v>13.101150322580644</v>
      </c>
      <c r="U35" s="55"/>
    </row>
    <row r="36" spans="2:40" ht="17.25" x14ac:dyDescent="0.4">
      <c r="B36" s="19" t="s">
        <v>39</v>
      </c>
      <c r="C36" s="73">
        <v>100</v>
      </c>
      <c r="D36" s="73">
        <v>0</v>
      </c>
      <c r="E36" s="73">
        <v>0</v>
      </c>
      <c r="F36" s="73">
        <v>0</v>
      </c>
      <c r="G36" s="73"/>
      <c r="H36" s="73">
        <v>0</v>
      </c>
      <c r="I36" s="73">
        <v>0</v>
      </c>
      <c r="J36" s="118">
        <v>2429</v>
      </c>
      <c r="K36" s="73">
        <v>5214</v>
      </c>
      <c r="L36" s="129">
        <f t="shared" si="8"/>
        <v>7743</v>
      </c>
      <c r="M36" s="70"/>
      <c r="R36" s="173" t="s">
        <v>124</v>
      </c>
      <c r="S36"/>
      <c r="T36" s="60">
        <f>T26+T35+T19</f>
        <v>122.64365032258064</v>
      </c>
    </row>
    <row r="37" spans="2:40" ht="17.25" x14ac:dyDescent="0.4">
      <c r="B37" s="19" t="s">
        <v>40</v>
      </c>
      <c r="C37" s="118">
        <v>443.5</v>
      </c>
      <c r="D37" s="73">
        <v>0</v>
      </c>
      <c r="E37" s="73">
        <v>0</v>
      </c>
      <c r="F37" s="73">
        <v>0</v>
      </c>
      <c r="G37" s="73"/>
      <c r="H37" s="73">
        <v>16853</v>
      </c>
      <c r="I37" s="73">
        <v>0</v>
      </c>
      <c r="J37" s="118">
        <v>84</v>
      </c>
      <c r="K37" s="73">
        <v>18894</v>
      </c>
      <c r="L37" s="209">
        <f t="shared" si="8"/>
        <v>36274.5</v>
      </c>
      <c r="M37" s="70"/>
      <c r="R37" s="1" t="s">
        <v>125</v>
      </c>
      <c r="S37"/>
      <c r="T37" s="183">
        <f>T17-T36</f>
        <v>0</v>
      </c>
      <c r="U37"/>
    </row>
    <row r="38" spans="2:40" ht="17.25" x14ac:dyDescent="0.4">
      <c r="B38" s="19" t="s">
        <v>41</v>
      </c>
      <c r="C38" s="73">
        <v>40</v>
      </c>
      <c r="D38" s="73">
        <v>0</v>
      </c>
      <c r="E38" s="73">
        <v>0</v>
      </c>
      <c r="F38" s="73">
        <v>0</v>
      </c>
      <c r="G38" s="73"/>
      <c r="H38" s="73">
        <v>0</v>
      </c>
      <c r="I38" s="73">
        <v>0</v>
      </c>
      <c r="J38" s="118">
        <v>5537</v>
      </c>
      <c r="K38" s="73">
        <v>856</v>
      </c>
      <c r="L38" s="129">
        <f t="shared" si="8"/>
        <v>6433</v>
      </c>
      <c r="M38" s="100"/>
      <c r="O38" s="6"/>
      <c r="P38" s="6"/>
      <c r="Q38" s="6"/>
      <c r="R38" s="173" t="s">
        <v>124</v>
      </c>
      <c r="S38"/>
      <c r="T38" s="60">
        <f>T28+T37+T21</f>
        <v>26.003360000000001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73">
        <v>0</v>
      </c>
      <c r="D39" s="73">
        <v>0</v>
      </c>
      <c r="E39" s="73">
        <v>0</v>
      </c>
      <c r="F39" s="73">
        <v>0</v>
      </c>
      <c r="G39" s="73"/>
      <c r="H39" s="73">
        <v>0</v>
      </c>
      <c r="I39" s="73">
        <v>0</v>
      </c>
      <c r="J39" s="73">
        <v>0</v>
      </c>
      <c r="K39" s="73">
        <v>3097</v>
      </c>
      <c r="L39" s="71">
        <f t="shared" si="8"/>
        <v>3097</v>
      </c>
      <c r="M39" s="70"/>
      <c r="S39" s="172"/>
      <c r="T39" s="184"/>
      <c r="U39" s="172"/>
    </row>
    <row r="40" spans="2:40" x14ac:dyDescent="0.25">
      <c r="B40" s="19" t="s">
        <v>43</v>
      </c>
      <c r="C40" s="69">
        <f>SUM(C32:C39)</f>
        <v>23287.5</v>
      </c>
      <c r="D40" s="69">
        <f t="shared" ref="D40:K40" si="9">SUM(D32:D39)</f>
        <v>0</v>
      </c>
      <c r="E40" s="69">
        <f t="shared" si="9"/>
        <v>0</v>
      </c>
      <c r="F40" s="69">
        <f t="shared" si="9"/>
        <v>1934</v>
      </c>
      <c r="G40" s="69">
        <f t="shared" ref="G40" si="10">SUM(G32:G39)</f>
        <v>0</v>
      </c>
      <c r="H40" s="69">
        <f t="shared" si="9"/>
        <v>16853</v>
      </c>
      <c r="I40" s="69">
        <f t="shared" si="9"/>
        <v>0</v>
      </c>
      <c r="J40" s="69">
        <f t="shared" si="9"/>
        <v>17351</v>
      </c>
      <c r="K40" s="69">
        <f t="shared" si="9"/>
        <v>50117</v>
      </c>
      <c r="L40" s="71">
        <f t="shared" si="8"/>
        <v>109542.5</v>
      </c>
      <c r="M40" s="70"/>
    </row>
    <row r="41" spans="2:40" x14ac:dyDescent="0.25">
      <c r="B41" s="19" t="s">
        <v>44</v>
      </c>
      <c r="C41" s="69">
        <f>SUM(C37:C39)</f>
        <v>483.5</v>
      </c>
      <c r="D41" s="69">
        <f t="shared" ref="D41:L41" si="11">SUM(D37:D39)</f>
        <v>0</v>
      </c>
      <c r="E41" s="69">
        <f t="shared" si="11"/>
        <v>0</v>
      </c>
      <c r="F41" s="69">
        <f t="shared" si="11"/>
        <v>0</v>
      </c>
      <c r="G41" s="69">
        <f t="shared" ref="G41" si="12">SUM(G37:G39)</f>
        <v>0</v>
      </c>
      <c r="H41" s="69">
        <f t="shared" si="11"/>
        <v>16853</v>
      </c>
      <c r="I41" s="69">
        <f t="shared" si="11"/>
        <v>0</v>
      </c>
      <c r="J41" s="69">
        <f t="shared" si="11"/>
        <v>5621</v>
      </c>
      <c r="K41" s="69">
        <f t="shared" si="11"/>
        <v>22847</v>
      </c>
      <c r="L41" s="69">
        <f t="shared" si="11"/>
        <v>45804.5</v>
      </c>
      <c r="M41" s="70"/>
    </row>
    <row r="42" spans="2:40" x14ac:dyDescent="0.25">
      <c r="B42" s="24"/>
      <c r="C42" s="78"/>
      <c r="D42" s="78"/>
      <c r="E42" s="78"/>
      <c r="F42" s="78"/>
      <c r="G42" s="78"/>
      <c r="H42" s="78"/>
      <c r="I42" s="78"/>
      <c r="J42" s="78"/>
      <c r="K42" s="78"/>
      <c r="L42" s="79"/>
      <c r="M42" s="87"/>
    </row>
    <row r="43" spans="2:40" ht="15.75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6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7"/>
  <sheetViews>
    <sheetView zoomScale="70" zoomScaleNormal="70" workbookViewId="0">
      <selection activeCell="L20" sqref="L20:M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4.85546875" style="1" bestFit="1" customWidth="1"/>
    <col min="4" max="4" width="9.28515625" style="1" bestFit="1" customWidth="1"/>
    <col min="5" max="5" width="12.42578125" style="1" bestFit="1" customWidth="1"/>
    <col min="6" max="6" width="13.5703125" style="1" bestFit="1" customWidth="1"/>
    <col min="7" max="7" width="13.5703125" style="1" customWidth="1"/>
    <col min="8" max="8" width="14.85546875" style="1" bestFit="1" customWidth="1"/>
    <col min="9" max="9" width="10.8554687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6" style="1" bestFit="1" customWidth="1"/>
    <col min="19" max="19" width="13.140625" style="1" bestFit="1" customWidth="1"/>
    <col min="20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131">
        <v>0</v>
      </c>
      <c r="D4" s="131">
        <v>0</v>
      </c>
      <c r="E4" s="131">
        <v>0</v>
      </c>
      <c r="F4" s="131">
        <v>0</v>
      </c>
      <c r="G4" s="131">
        <v>0</v>
      </c>
      <c r="H4" s="131">
        <v>0</v>
      </c>
      <c r="I4" s="131">
        <v>0</v>
      </c>
      <c r="J4" s="131">
        <v>0</v>
      </c>
      <c r="K4" s="132">
        <v>0</v>
      </c>
      <c r="L4" s="167">
        <f>K4/(K4+K5)</f>
        <v>0</v>
      </c>
      <c r="M4" s="134">
        <f>J4-K4</f>
        <v>0</v>
      </c>
      <c r="N4" s="1"/>
      <c r="O4" s="6"/>
      <c r="P4" s="6"/>
      <c r="Q4" s="6"/>
      <c r="R4" s="51" t="s">
        <v>105</v>
      </c>
      <c r="S4" s="21">
        <f>L20</f>
        <v>101178.42741935483</v>
      </c>
      <c r="T4" s="171">
        <f>S4/1000</f>
        <v>101.17842741935483</v>
      </c>
      <c r="U4" s="172"/>
      <c r="W4" s="1"/>
    </row>
    <row r="5" spans="2:23" s="7" customFormat="1" ht="17.25" x14ac:dyDescent="0.4">
      <c r="B5" s="19" t="s">
        <v>9</v>
      </c>
      <c r="C5" s="165">
        <v>1159</v>
      </c>
      <c r="D5" s="131">
        <v>0</v>
      </c>
      <c r="E5" s="131">
        <v>0</v>
      </c>
      <c r="F5" s="131">
        <v>0</v>
      </c>
      <c r="G5" s="131">
        <v>0</v>
      </c>
      <c r="H5" s="165">
        <v>43901</v>
      </c>
      <c r="I5" s="165">
        <v>838</v>
      </c>
      <c r="J5" s="165">
        <v>45898</v>
      </c>
      <c r="K5" s="156">
        <v>37139</v>
      </c>
      <c r="L5" s="167">
        <f>K5/(K4+K5)</f>
        <v>1</v>
      </c>
      <c r="M5" s="134">
        <f>J5-K5</f>
        <v>8759</v>
      </c>
      <c r="N5" s="1"/>
      <c r="O5" s="6"/>
      <c r="P5" s="6"/>
      <c r="Q5" s="6"/>
      <c r="R5" s="7" t="s">
        <v>106</v>
      </c>
      <c r="S5" s="21">
        <f>IF(K28&gt;0,0,K28)*-1</f>
        <v>307829.95999999996</v>
      </c>
      <c r="T5" s="171">
        <f>S5/1000</f>
        <v>307.82995999999997</v>
      </c>
      <c r="W5" s="1"/>
    </row>
    <row r="6" spans="2:23" s="7" customFormat="1" x14ac:dyDescent="0.25">
      <c r="B6" s="19" t="s">
        <v>10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131">
        <v>0</v>
      </c>
      <c r="J6" s="131">
        <v>0</v>
      </c>
      <c r="K6" s="132">
        <v>0</v>
      </c>
      <c r="L6" s="133"/>
      <c r="M6" s="134"/>
      <c r="N6" s="1"/>
      <c r="O6" s="6"/>
      <c r="P6" s="6"/>
      <c r="Q6" s="6"/>
      <c r="R6" s="51" t="s">
        <v>104</v>
      </c>
      <c r="S6" s="171">
        <f>H10+H20+H40</f>
        <v>237692</v>
      </c>
      <c r="T6" s="171">
        <f>S6/1000</f>
        <v>237.69200000000001</v>
      </c>
      <c r="U6" s="172"/>
      <c r="W6" s="1"/>
    </row>
    <row r="7" spans="2:23" s="7" customFormat="1" x14ac:dyDescent="0.25">
      <c r="B7" s="19" t="s">
        <v>11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2">
        <v>0</v>
      </c>
      <c r="L7" s="133"/>
      <c r="M7" s="134"/>
      <c r="N7" s="1"/>
      <c r="O7" s="6"/>
      <c r="P7" s="6"/>
      <c r="Q7" s="6"/>
      <c r="R7" s="51" t="s">
        <v>56</v>
      </c>
      <c r="S7" s="171">
        <f>D10+D20+D40</f>
        <v>0</v>
      </c>
      <c r="T7" s="171">
        <f>S7/1000</f>
        <v>0</v>
      </c>
      <c r="U7" s="172"/>
      <c r="V7" s="6"/>
      <c r="W7" s="1"/>
    </row>
    <row r="8" spans="2:23" s="7" customFormat="1" x14ac:dyDescent="0.25">
      <c r="B8" s="19" t="s">
        <v>12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2">
        <v>0</v>
      </c>
      <c r="L8" s="133"/>
      <c r="M8" s="134"/>
      <c r="N8" s="1"/>
      <c r="O8" s="6"/>
      <c r="P8" s="6"/>
      <c r="Q8" s="6"/>
      <c r="R8" s="51" t="s">
        <v>58</v>
      </c>
      <c r="S8" s="171">
        <f>G10+G20+G40</f>
        <v>0</v>
      </c>
      <c r="T8" s="171">
        <f t="shared" ref="T8:T12" si="0">S8/1000</f>
        <v>0</v>
      </c>
      <c r="U8" s="172"/>
      <c r="V8" s="6"/>
      <c r="W8" s="1"/>
    </row>
    <row r="9" spans="2:23" s="7" customFormat="1" ht="17.25" x14ac:dyDescent="0.4">
      <c r="B9" s="19" t="s">
        <v>13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56">
        <v>6685</v>
      </c>
      <c r="L9" s="133"/>
      <c r="M9" s="134"/>
      <c r="N9" s="1"/>
      <c r="O9" s="6"/>
      <c r="P9" s="6"/>
      <c r="Q9" s="6"/>
      <c r="R9" s="51" t="s">
        <v>59</v>
      </c>
      <c r="S9" s="171">
        <f>E10+E20+E40</f>
        <v>2500</v>
      </c>
      <c r="T9" s="171">
        <f t="shared" si="0"/>
        <v>2.5</v>
      </c>
      <c r="U9" s="172"/>
      <c r="V9" s="6"/>
      <c r="W9" s="1"/>
    </row>
    <row r="10" spans="2:23" s="7" customFormat="1" ht="17.25" x14ac:dyDescent="0.4">
      <c r="B10" s="19" t="s">
        <v>14</v>
      </c>
      <c r="C10" s="156">
        <v>1159</v>
      </c>
      <c r="D10" s="132">
        <f t="shared" ref="D10:I10" si="1">SUM(D4:D9)</f>
        <v>0</v>
      </c>
      <c r="E10" s="132">
        <f t="shared" si="1"/>
        <v>0</v>
      </c>
      <c r="F10" s="132">
        <f t="shared" si="1"/>
        <v>0</v>
      </c>
      <c r="G10" s="132">
        <f t="shared" ref="G10" si="2">SUM(G4:G9)</f>
        <v>0</v>
      </c>
      <c r="H10" s="156">
        <v>43901</v>
      </c>
      <c r="I10" s="156">
        <f t="shared" si="1"/>
        <v>838</v>
      </c>
      <c r="J10" s="156">
        <v>45898</v>
      </c>
      <c r="K10" s="156">
        <v>43824</v>
      </c>
      <c r="L10" s="133"/>
      <c r="M10" s="134">
        <f>SUM(M4:M9)</f>
        <v>8759</v>
      </c>
      <c r="N10" s="1"/>
      <c r="O10" s="6"/>
      <c r="P10" s="6"/>
      <c r="Q10" s="6"/>
      <c r="R10" s="51" t="s">
        <v>25</v>
      </c>
      <c r="S10" s="171">
        <f>I10+I20+I40</f>
        <v>838</v>
      </c>
      <c r="T10" s="171">
        <f t="shared" si="0"/>
        <v>0.83799999999999997</v>
      </c>
      <c r="U10" s="172"/>
      <c r="V10" s="6"/>
      <c r="W10" s="1"/>
    </row>
    <row r="11" spans="2:23" s="7" customFormat="1" x14ac:dyDescent="0.25">
      <c r="B11" s="22"/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137"/>
      <c r="N11" s="1"/>
      <c r="O11" s="6"/>
      <c r="P11" s="6"/>
      <c r="Q11" s="6"/>
      <c r="R11" s="51" t="s">
        <v>60</v>
      </c>
      <c r="S11" s="171">
        <f>F10+F20+F40</f>
        <v>13586</v>
      </c>
      <c r="T11" s="171">
        <f t="shared" si="0"/>
        <v>13.586</v>
      </c>
      <c r="U11" s="172"/>
      <c r="V11" s="6"/>
      <c r="W11" s="1"/>
    </row>
    <row r="12" spans="2:23" s="7" customFormat="1" x14ac:dyDescent="0.25">
      <c r="B12" s="23" t="s">
        <v>15</v>
      </c>
      <c r="C12" s="135"/>
      <c r="D12" s="135"/>
      <c r="E12" s="135"/>
      <c r="F12" s="135"/>
      <c r="G12" s="135"/>
      <c r="H12" s="135"/>
      <c r="I12" s="135"/>
      <c r="J12" s="133"/>
      <c r="K12" s="133">
        <v>0</v>
      </c>
      <c r="L12" s="136"/>
      <c r="M12" s="137"/>
      <c r="N12" s="1"/>
      <c r="O12" s="6"/>
      <c r="P12" s="6"/>
      <c r="Q12" s="6"/>
      <c r="R12" s="51" t="s">
        <v>61</v>
      </c>
      <c r="S12" s="171">
        <f>C10+C20+C40</f>
        <v>197454</v>
      </c>
      <c r="T12" s="171">
        <f t="shared" si="0"/>
        <v>197.45400000000001</v>
      </c>
      <c r="U12" s="172"/>
      <c r="V12" s="6"/>
      <c r="W12" s="1"/>
    </row>
    <row r="13" spans="2:23" x14ac:dyDescent="0.25">
      <c r="B13" s="2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8"/>
      <c r="N13" s="6"/>
      <c r="R13" s="173" t="s">
        <v>108</v>
      </c>
      <c r="S13" s="171">
        <f>SUM(S4:S12)</f>
        <v>861078.38741935487</v>
      </c>
      <c r="T13" s="171">
        <f>SUM(T4:T12)</f>
        <v>861.07838741935484</v>
      </c>
      <c r="U13" s="172"/>
    </row>
    <row r="14" spans="2:23" ht="18.75" x14ac:dyDescent="0.3">
      <c r="B14" s="26" t="s">
        <v>16</v>
      </c>
      <c r="C14" s="139"/>
      <c r="D14" s="139"/>
      <c r="E14" s="139"/>
      <c r="F14" s="139"/>
      <c r="G14" s="139"/>
      <c r="H14" s="139"/>
      <c r="I14" s="139"/>
      <c r="J14" s="139"/>
      <c r="K14" s="159" t="s">
        <v>17</v>
      </c>
      <c r="L14" s="140" t="s">
        <v>18</v>
      </c>
      <c r="M14" s="141"/>
      <c r="N14" s="27" t="s">
        <v>19</v>
      </c>
      <c r="O14" s="28"/>
      <c r="R14" t="s">
        <v>109</v>
      </c>
      <c r="S14" s="59">
        <f>K8</f>
        <v>0</v>
      </c>
      <c r="T14" s="59">
        <f>S14/1000</f>
        <v>0</v>
      </c>
      <c r="U14" s="172"/>
      <c r="V14"/>
    </row>
    <row r="15" spans="2:23" x14ac:dyDescent="0.25">
      <c r="B15" s="19" t="s">
        <v>20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42">
        <f>K15/(1-N15)</f>
        <v>0</v>
      </c>
      <c r="M15" s="143">
        <f>J15-L15</f>
        <v>0</v>
      </c>
      <c r="N15" s="29">
        <v>0.03</v>
      </c>
      <c r="P15" s="30"/>
      <c r="R15" t="s">
        <v>110</v>
      </c>
      <c r="S15" s="59">
        <f>K9</f>
        <v>6685</v>
      </c>
      <c r="T15" s="59">
        <f t="shared" ref="T15:T16" si="3">S15/1000</f>
        <v>6.6849999999999996</v>
      </c>
      <c r="U15" s="172"/>
      <c r="V15"/>
    </row>
    <row r="16" spans="2:23" x14ac:dyDescent="0.25">
      <c r="B16" s="19" t="s">
        <v>21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42">
        <f>K16/(1-N16)</f>
        <v>0</v>
      </c>
      <c r="M16" s="143">
        <f>J16-L16</f>
        <v>0</v>
      </c>
      <c r="N16" s="29">
        <v>0.03</v>
      </c>
      <c r="P16" s="30"/>
      <c r="R16" t="s">
        <v>111</v>
      </c>
      <c r="S16" s="59">
        <f>K6+K7</f>
        <v>0</v>
      </c>
      <c r="T16" s="59">
        <f t="shared" si="3"/>
        <v>0</v>
      </c>
      <c r="U16" s="172"/>
      <c r="V16" s="6"/>
    </row>
    <row r="17" spans="2:23" x14ac:dyDescent="0.25">
      <c r="B17" s="19" t="s">
        <v>22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42">
        <f>K17/(1-N17)</f>
        <v>0</v>
      </c>
      <c r="M17" s="143">
        <f>J17-L17</f>
        <v>0</v>
      </c>
      <c r="N17" s="29">
        <v>0.03</v>
      </c>
      <c r="P17" s="30"/>
      <c r="R17" t="s">
        <v>112</v>
      </c>
      <c r="S17" s="59">
        <f>SUM(S13:S16)</f>
        <v>867763.38741935487</v>
      </c>
      <c r="T17" s="59">
        <f>SUM(T13:T16)</f>
        <v>867.76338741935479</v>
      </c>
      <c r="U17" s="172"/>
      <c r="V17" s="6"/>
      <c r="W17" s="6"/>
    </row>
    <row r="18" spans="2:23" x14ac:dyDescent="0.25">
      <c r="B18" s="19" t="s">
        <v>23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100369</v>
      </c>
      <c r="L18" s="142">
        <f>K18/(1-N18)</f>
        <v>101178.42741935483</v>
      </c>
      <c r="M18" s="143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42">
        <f>K19/(1-N19)</f>
        <v>0</v>
      </c>
      <c r="M19" s="143"/>
      <c r="N19" s="1">
        <v>0</v>
      </c>
      <c r="P19" s="30"/>
      <c r="R19" s="19" t="s">
        <v>113</v>
      </c>
      <c r="S19" s="21">
        <f>IF(K28&lt;0,0,K28)</f>
        <v>0</v>
      </c>
      <c r="T19" s="171">
        <f t="shared" ref="T19:T25" si="4">S19/1000</f>
        <v>0</v>
      </c>
      <c r="U19"/>
      <c r="V19" s="6"/>
    </row>
    <row r="20" spans="2:23" x14ac:dyDescent="0.25">
      <c r="B20" s="19" t="s">
        <v>14</v>
      </c>
      <c r="C20" s="132">
        <f t="shared" ref="C20:J20" si="5">SUM(C15:C19)</f>
        <v>0</v>
      </c>
      <c r="D20" s="132">
        <f t="shared" si="5"/>
        <v>0</v>
      </c>
      <c r="E20" s="132">
        <f t="shared" si="5"/>
        <v>0</v>
      </c>
      <c r="F20" s="132">
        <f t="shared" si="5"/>
        <v>0</v>
      </c>
      <c r="G20" s="132">
        <f t="shared" ref="G20" si="6">SUM(G15:G19)</f>
        <v>0</v>
      </c>
      <c r="H20" s="132">
        <f t="shared" si="5"/>
        <v>0</v>
      </c>
      <c r="I20" s="132">
        <f t="shared" si="5"/>
        <v>0</v>
      </c>
      <c r="J20" s="132">
        <f t="shared" si="5"/>
        <v>0</v>
      </c>
      <c r="K20" s="132">
        <f>SUM(K15:K19)</f>
        <v>100369</v>
      </c>
      <c r="L20" s="144">
        <f>SUM(L15:L19)</f>
        <v>101178.42741935483</v>
      </c>
      <c r="M20" s="144">
        <f>SUM(M15:M19)</f>
        <v>0</v>
      </c>
      <c r="N20" s="32"/>
      <c r="O20" s="33"/>
      <c r="P20" s="30"/>
      <c r="R20" s="19" t="s">
        <v>35</v>
      </c>
      <c r="S20" s="174">
        <f>L32</f>
        <v>24784</v>
      </c>
      <c r="T20" s="171">
        <f t="shared" si="4"/>
        <v>24.783999999999999</v>
      </c>
      <c r="U20"/>
      <c r="V20" s="6"/>
    </row>
    <row r="21" spans="2:23" x14ac:dyDescent="0.25">
      <c r="B21" s="24"/>
      <c r="C21" s="132"/>
      <c r="D21" s="132"/>
      <c r="E21" s="132"/>
      <c r="F21" s="132"/>
      <c r="G21" s="132"/>
      <c r="H21" s="132"/>
      <c r="I21" s="132"/>
      <c r="J21" s="132"/>
      <c r="K21" s="132"/>
      <c r="L21" s="131"/>
      <c r="M21" s="138"/>
      <c r="N21" s="30"/>
      <c r="R21" s="19" t="s">
        <v>36</v>
      </c>
      <c r="S21" s="174">
        <f>L33</f>
        <v>426165</v>
      </c>
      <c r="T21" s="171">
        <f t="shared" si="4"/>
        <v>426.16500000000002</v>
      </c>
      <c r="U21" s="172"/>
    </row>
    <row r="22" spans="2:23" x14ac:dyDescent="0.25">
      <c r="B22" s="24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8"/>
      <c r="R22" s="19" t="s">
        <v>37</v>
      </c>
      <c r="S22" s="174">
        <f>L34</f>
        <v>19367</v>
      </c>
      <c r="T22" s="171">
        <f t="shared" si="4"/>
        <v>19.367000000000001</v>
      </c>
      <c r="U22" s="172"/>
    </row>
    <row r="23" spans="2:23" ht="15.75" thickBot="1" x14ac:dyDescent="0.3">
      <c r="B23" s="35" t="s">
        <v>25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R23" s="19" t="s">
        <v>38</v>
      </c>
      <c r="S23" s="174">
        <f>L35</f>
        <v>145738</v>
      </c>
      <c r="T23" s="171">
        <f t="shared" si="4"/>
        <v>145.738</v>
      </c>
      <c r="U23" s="172"/>
    </row>
    <row r="24" spans="2:23" x14ac:dyDescent="0.25"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R24" s="19" t="s">
        <v>39</v>
      </c>
      <c r="S24" s="174">
        <f>L36</f>
        <v>38688</v>
      </c>
      <c r="T24" s="171">
        <f t="shared" si="4"/>
        <v>38.688000000000002</v>
      </c>
      <c r="U24" s="172"/>
    </row>
    <row r="25" spans="2:23" ht="15.75" thickBot="1" x14ac:dyDescent="0.3"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R25" s="19" t="s">
        <v>44</v>
      </c>
      <c r="S25" s="174">
        <f>L41</f>
        <v>168992</v>
      </c>
      <c r="T25" s="171">
        <f t="shared" si="4"/>
        <v>168.99199999999999</v>
      </c>
      <c r="U25" s="172"/>
    </row>
    <row r="26" spans="2:23" ht="15.75" thickBot="1" x14ac:dyDescent="0.3">
      <c r="B26" s="8"/>
      <c r="C26" s="147"/>
      <c r="D26" s="147"/>
      <c r="E26" s="147"/>
      <c r="F26" s="147"/>
      <c r="G26" s="147"/>
      <c r="H26" s="147"/>
      <c r="I26" s="131"/>
      <c r="J26" s="148" t="s">
        <v>26</v>
      </c>
      <c r="K26" s="149" t="s">
        <v>27</v>
      </c>
      <c r="L26" s="131"/>
      <c r="M26" s="131"/>
      <c r="N26" s="38" t="s">
        <v>28</v>
      </c>
      <c r="R26" s="19" t="s">
        <v>114</v>
      </c>
      <c r="S26" s="60">
        <f>SUM(S20:S25)</f>
        <v>823734</v>
      </c>
      <c r="T26" s="60">
        <f>SUM(T20:T25)</f>
        <v>823.73400000000004</v>
      </c>
      <c r="U26" s="172"/>
    </row>
    <row r="27" spans="2:23" x14ac:dyDescent="0.25">
      <c r="B27" s="39" t="s">
        <v>29</v>
      </c>
      <c r="C27" s="132"/>
      <c r="D27" s="132"/>
      <c r="E27" s="132"/>
      <c r="F27" s="132"/>
      <c r="G27" s="132"/>
      <c r="H27" s="132"/>
      <c r="I27" s="131"/>
      <c r="J27" s="150">
        <f>K10-J40</f>
        <v>4224</v>
      </c>
      <c r="K27" s="134">
        <f>K40*8%</f>
        <v>30236.959999999999</v>
      </c>
      <c r="L27" s="131"/>
      <c r="M27" s="131"/>
      <c r="N27" s="40">
        <f>100-(J40/K10*100)</f>
        <v>9.6385542168674618</v>
      </c>
      <c r="R27" s="175" t="s">
        <v>115</v>
      </c>
      <c r="S27" s="176"/>
      <c r="T27" s="177">
        <f t="shared" ref="T27:T34" si="7">S27/1000</f>
        <v>0</v>
      </c>
      <c r="U27" s="172"/>
    </row>
    <row r="28" spans="2:23" ht="15.75" thickBot="1" x14ac:dyDescent="0.3">
      <c r="B28" s="35" t="s">
        <v>30</v>
      </c>
      <c r="C28" s="145"/>
      <c r="D28" s="145"/>
      <c r="E28" s="145"/>
      <c r="F28" s="145"/>
      <c r="G28" s="145"/>
      <c r="H28" s="145"/>
      <c r="I28" s="145"/>
      <c r="J28" s="151">
        <f>J40+J27-K10</f>
        <v>0</v>
      </c>
      <c r="K28" s="95">
        <f>K20-K27-K40</f>
        <v>-307829.95999999996</v>
      </c>
      <c r="L28" s="131"/>
      <c r="M28" s="131"/>
      <c r="N28" s="1" t="str">
        <f>IF(N27&gt;10,"OBS! HÖGA FÖRLUSTER","OK")</f>
        <v>OK</v>
      </c>
      <c r="R28" s="51" t="s">
        <v>116</v>
      </c>
      <c r="S28" s="52">
        <f>K27</f>
        <v>30236.959999999999</v>
      </c>
      <c r="T28" s="178">
        <f t="shared" si="7"/>
        <v>30.23696</v>
      </c>
      <c r="U28" s="172"/>
    </row>
    <row r="29" spans="2:23" ht="15.75" thickBot="1" x14ac:dyDescent="0.3"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R29" s="51" t="s">
        <v>117</v>
      </c>
      <c r="S29" s="52">
        <f>J27</f>
        <v>4224</v>
      </c>
      <c r="T29" s="178">
        <f t="shared" si="7"/>
        <v>4.2240000000000002</v>
      </c>
      <c r="U29" s="50"/>
    </row>
    <row r="30" spans="2:23" ht="15.75" thickBot="1" x14ac:dyDescent="0.3">
      <c r="B30" s="8"/>
      <c r="C30" s="152" t="s">
        <v>0</v>
      </c>
      <c r="D30" s="152"/>
      <c r="E30" s="152"/>
      <c r="F30" s="152" t="s">
        <v>1</v>
      </c>
      <c r="G30" s="152"/>
      <c r="H30" s="152"/>
      <c r="I30" s="147"/>
      <c r="J30" s="147"/>
      <c r="K30" s="147"/>
      <c r="L30" s="153"/>
      <c r="M30" s="131"/>
      <c r="R30" s="51" t="s">
        <v>118</v>
      </c>
      <c r="S30" s="52">
        <f>L20-K20</f>
        <v>809.42741935483355</v>
      </c>
      <c r="T30" s="178">
        <f t="shared" si="7"/>
        <v>0.80942741935483353</v>
      </c>
      <c r="U30" s="55"/>
    </row>
    <row r="31" spans="2:23" ht="30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154" t="s">
        <v>32</v>
      </c>
      <c r="K31" s="154" t="s">
        <v>33</v>
      </c>
      <c r="L31" s="155" t="s">
        <v>34</v>
      </c>
      <c r="M31" s="131"/>
      <c r="R31" s="51" t="s">
        <v>119</v>
      </c>
      <c r="S31" s="52">
        <f>M4</f>
        <v>0</v>
      </c>
      <c r="T31" s="178">
        <f t="shared" si="7"/>
        <v>0</v>
      </c>
      <c r="U31" s="55"/>
    </row>
    <row r="32" spans="2:23" x14ac:dyDescent="0.25">
      <c r="B32" s="19" t="s">
        <v>35</v>
      </c>
      <c r="C32" s="132">
        <v>6086</v>
      </c>
      <c r="D32" s="132">
        <v>0</v>
      </c>
      <c r="E32" s="132">
        <v>0</v>
      </c>
      <c r="F32" s="132">
        <v>615</v>
      </c>
      <c r="G32" s="132"/>
      <c r="H32" s="132">
        <v>0</v>
      </c>
      <c r="I32" s="132">
        <v>0</v>
      </c>
      <c r="J32" s="132">
        <v>0</v>
      </c>
      <c r="K32" s="132">
        <v>18083</v>
      </c>
      <c r="L32" s="134">
        <f>SUM(C32:K32)</f>
        <v>24784</v>
      </c>
      <c r="M32" s="131"/>
      <c r="R32" s="51" t="s">
        <v>120</v>
      </c>
      <c r="S32" s="52">
        <f>M5</f>
        <v>8759</v>
      </c>
      <c r="T32" s="178">
        <f t="shared" si="7"/>
        <v>8.7590000000000003</v>
      </c>
      <c r="U32"/>
    </row>
    <row r="33" spans="2:40" ht="17.25" x14ac:dyDescent="0.4">
      <c r="B33" s="19" t="s">
        <v>36</v>
      </c>
      <c r="C33" s="156">
        <v>52672</v>
      </c>
      <c r="D33" s="132">
        <v>0</v>
      </c>
      <c r="E33" s="156">
        <v>2500</v>
      </c>
      <c r="F33" s="132">
        <v>639</v>
      </c>
      <c r="G33" s="132"/>
      <c r="H33" s="156">
        <v>128791</v>
      </c>
      <c r="I33" s="132">
        <v>0</v>
      </c>
      <c r="J33" s="156">
        <v>1100</v>
      </c>
      <c r="K33" s="132">
        <v>240463</v>
      </c>
      <c r="L33" s="134">
        <f t="shared" ref="L33:L40" si="8">SUM(C33:K33)</f>
        <v>426165</v>
      </c>
      <c r="M33" s="131"/>
      <c r="R33" s="51" t="s">
        <v>121</v>
      </c>
      <c r="S33" s="52">
        <f>M15</f>
        <v>0</v>
      </c>
      <c r="T33" s="178">
        <f t="shared" si="7"/>
        <v>0</v>
      </c>
      <c r="U33" s="55"/>
    </row>
    <row r="34" spans="2:40" ht="18" thickBot="1" x14ac:dyDescent="0.45">
      <c r="B34" s="19" t="s">
        <v>37</v>
      </c>
      <c r="C34" s="132">
        <v>706</v>
      </c>
      <c r="D34" s="132">
        <v>0</v>
      </c>
      <c r="E34" s="132">
        <v>0</v>
      </c>
      <c r="F34" s="132">
        <v>0</v>
      </c>
      <c r="G34" s="132"/>
      <c r="H34" s="132">
        <v>0</v>
      </c>
      <c r="I34" s="132">
        <v>0</v>
      </c>
      <c r="J34" s="156">
        <v>8000</v>
      </c>
      <c r="K34" s="132">
        <v>10661</v>
      </c>
      <c r="L34" s="166">
        <f t="shared" si="8"/>
        <v>19367</v>
      </c>
      <c r="M34" s="131"/>
      <c r="R34" s="56" t="s">
        <v>122</v>
      </c>
      <c r="S34" s="179">
        <f>M16</f>
        <v>0</v>
      </c>
      <c r="T34" s="180">
        <f t="shared" si="7"/>
        <v>0</v>
      </c>
      <c r="U34" s="55"/>
    </row>
    <row r="35" spans="2:40" x14ac:dyDescent="0.25">
      <c r="B35" s="19" t="s">
        <v>38</v>
      </c>
      <c r="C35" s="132">
        <v>133264</v>
      </c>
      <c r="D35" s="132">
        <v>0</v>
      </c>
      <c r="E35" s="132">
        <v>0</v>
      </c>
      <c r="F35" s="132">
        <v>12332</v>
      </c>
      <c r="G35" s="132"/>
      <c r="H35" s="132">
        <v>0</v>
      </c>
      <c r="I35" s="132">
        <v>0</v>
      </c>
      <c r="J35" s="132">
        <v>0</v>
      </c>
      <c r="K35" s="132">
        <v>142</v>
      </c>
      <c r="L35" s="134">
        <f t="shared" si="8"/>
        <v>145738</v>
      </c>
      <c r="M35" s="131"/>
      <c r="R35" s="173" t="s">
        <v>123</v>
      </c>
      <c r="S35" s="181">
        <f>SUM(S28:S34)</f>
        <v>44029.387419354833</v>
      </c>
      <c r="T35" s="182">
        <f>SUM(T28:T34)</f>
        <v>44.029387419354833</v>
      </c>
      <c r="U35" s="55"/>
    </row>
    <row r="36" spans="2:40" ht="17.25" x14ac:dyDescent="0.4">
      <c r="B36" s="19" t="s">
        <v>39</v>
      </c>
      <c r="C36" s="156">
        <v>2000</v>
      </c>
      <c r="D36" s="132">
        <v>0</v>
      </c>
      <c r="E36" s="132">
        <v>0</v>
      </c>
      <c r="F36" s="132">
        <v>0</v>
      </c>
      <c r="G36" s="132"/>
      <c r="H36" s="132">
        <v>0</v>
      </c>
      <c r="I36" s="132">
        <v>0</v>
      </c>
      <c r="J36" s="156">
        <v>12839</v>
      </c>
      <c r="K36" s="156">
        <v>23849</v>
      </c>
      <c r="L36" s="134">
        <f t="shared" si="8"/>
        <v>38688</v>
      </c>
      <c r="M36" s="131"/>
      <c r="R36" s="173" t="s">
        <v>124</v>
      </c>
      <c r="S36"/>
      <c r="T36" s="60">
        <f>T26+T35+T19</f>
        <v>867.7633874193549</v>
      </c>
    </row>
    <row r="37" spans="2:40" ht="17.25" x14ac:dyDescent="0.4">
      <c r="B37" s="19" t="s">
        <v>40</v>
      </c>
      <c r="C37" s="132">
        <v>1438</v>
      </c>
      <c r="D37" s="132">
        <v>0</v>
      </c>
      <c r="E37" s="132">
        <v>0</v>
      </c>
      <c r="F37" s="132">
        <v>0</v>
      </c>
      <c r="G37" s="132"/>
      <c r="H37" s="156">
        <v>65000</v>
      </c>
      <c r="I37" s="132">
        <v>0</v>
      </c>
      <c r="J37" s="156">
        <v>7161</v>
      </c>
      <c r="K37" s="132">
        <v>74356</v>
      </c>
      <c r="L37" s="223">
        <f t="shared" si="8"/>
        <v>147955</v>
      </c>
      <c r="M37" s="131"/>
      <c r="R37" s="1" t="s">
        <v>125</v>
      </c>
      <c r="S37"/>
      <c r="T37" s="183">
        <f>T17-T36</f>
        <v>0</v>
      </c>
      <c r="U37"/>
    </row>
    <row r="38" spans="2:40" ht="17.25" x14ac:dyDescent="0.4">
      <c r="B38" s="19" t="s">
        <v>41</v>
      </c>
      <c r="C38" s="132">
        <v>129</v>
      </c>
      <c r="D38" s="132">
        <v>0</v>
      </c>
      <c r="E38" s="132">
        <v>0</v>
      </c>
      <c r="F38" s="132">
        <v>0</v>
      </c>
      <c r="G38" s="132"/>
      <c r="H38" s="132">
        <v>0</v>
      </c>
      <c r="I38" s="132">
        <v>0</v>
      </c>
      <c r="J38" s="156">
        <v>10500</v>
      </c>
      <c r="K38" s="132">
        <v>4424</v>
      </c>
      <c r="L38" s="166">
        <f t="shared" si="8"/>
        <v>15053</v>
      </c>
      <c r="M38" s="157"/>
      <c r="O38" s="6"/>
      <c r="P38" s="6"/>
      <c r="Q38" s="6"/>
      <c r="R38" s="173" t="s">
        <v>124</v>
      </c>
      <c r="S38"/>
      <c r="T38" s="60">
        <f>T28+T37+T21</f>
        <v>456.40196000000003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132">
        <v>0</v>
      </c>
      <c r="D39" s="132">
        <v>0</v>
      </c>
      <c r="E39" s="132">
        <v>0</v>
      </c>
      <c r="F39" s="132">
        <v>0</v>
      </c>
      <c r="G39" s="132"/>
      <c r="H39" s="132">
        <v>0</v>
      </c>
      <c r="I39" s="132">
        <v>0</v>
      </c>
      <c r="J39" s="132">
        <v>0</v>
      </c>
      <c r="K39" s="132">
        <v>5984</v>
      </c>
      <c r="L39" s="134">
        <f t="shared" si="8"/>
        <v>5984</v>
      </c>
      <c r="M39" s="131"/>
      <c r="S39" s="172"/>
      <c r="T39" s="184"/>
      <c r="U39" s="172"/>
    </row>
    <row r="40" spans="2:40" ht="17.25" x14ac:dyDescent="0.4">
      <c r="B40" s="19" t="s">
        <v>43</v>
      </c>
      <c r="C40" s="150">
        <f>SUM(C32:C39)</f>
        <v>196295</v>
      </c>
      <c r="D40" s="150">
        <f t="shared" ref="D40:K40" si="9">SUM(D32:D39)</f>
        <v>0</v>
      </c>
      <c r="E40" s="158">
        <f t="shared" si="9"/>
        <v>2500</v>
      </c>
      <c r="F40" s="150">
        <f t="shared" si="9"/>
        <v>13586</v>
      </c>
      <c r="G40" s="150">
        <f t="shared" ref="G40" si="10">SUM(G32:G39)</f>
        <v>0</v>
      </c>
      <c r="H40" s="158">
        <f t="shared" si="9"/>
        <v>193791</v>
      </c>
      <c r="I40" s="150">
        <f t="shared" si="9"/>
        <v>0</v>
      </c>
      <c r="J40" s="206">
        <f t="shared" si="9"/>
        <v>39600</v>
      </c>
      <c r="K40" s="206">
        <f t="shared" si="9"/>
        <v>377962</v>
      </c>
      <c r="L40" s="223">
        <f t="shared" si="8"/>
        <v>823734</v>
      </c>
      <c r="M40" s="131"/>
    </row>
    <row r="41" spans="2:40" x14ac:dyDescent="0.25">
      <c r="B41" s="19" t="s">
        <v>44</v>
      </c>
      <c r="C41" s="150">
        <f>SUM(C37:C39)</f>
        <v>1567</v>
      </c>
      <c r="D41" s="150">
        <f t="shared" ref="D41:L41" si="11">SUM(D37:D39)</f>
        <v>0</v>
      </c>
      <c r="E41" s="150">
        <f t="shared" si="11"/>
        <v>0</v>
      </c>
      <c r="F41" s="150">
        <f t="shared" si="11"/>
        <v>0</v>
      </c>
      <c r="G41" s="150">
        <f t="shared" ref="G41" si="12">SUM(G37:G39)</f>
        <v>0</v>
      </c>
      <c r="H41" s="150">
        <f t="shared" si="11"/>
        <v>65000</v>
      </c>
      <c r="I41" s="150">
        <f t="shared" si="11"/>
        <v>0</v>
      </c>
      <c r="J41" s="150">
        <f t="shared" si="11"/>
        <v>17661</v>
      </c>
      <c r="K41" s="150">
        <f t="shared" si="11"/>
        <v>84764</v>
      </c>
      <c r="L41" s="150">
        <f t="shared" si="11"/>
        <v>168992</v>
      </c>
      <c r="M41" s="131"/>
    </row>
    <row r="42" spans="2:40" x14ac:dyDescent="0.25">
      <c r="B42" s="24"/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2:40" ht="15.75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6"/>
    </row>
    <row r="46" spans="2:40" x14ac:dyDescent="0.25">
      <c r="E46" s="1" t="s">
        <v>90</v>
      </c>
    </row>
    <row r="47" spans="2:40" x14ac:dyDescent="0.25">
      <c r="E47" s="1" t="s">
        <v>91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7"/>
  <sheetViews>
    <sheetView zoomScale="70" zoomScaleNormal="70" workbookViewId="0">
      <selection activeCell="L20" sqref="L20:M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3.7109375" style="1" bestFit="1" customWidth="1"/>
    <col min="4" max="4" width="9.42578125" style="1" bestFit="1" customWidth="1"/>
    <col min="5" max="5" width="12.85546875" style="1" bestFit="1" customWidth="1"/>
    <col min="6" max="6" width="13.7109375" style="1" bestFit="1" customWidth="1"/>
    <col min="7" max="7" width="13.7109375" style="1" customWidth="1"/>
    <col min="8" max="8" width="13.7109375" style="1" bestFit="1" customWidth="1"/>
    <col min="9" max="9" width="9.4257812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6" style="1" bestFit="1" customWidth="1"/>
    <col min="19" max="19" width="13.140625" style="1" bestFit="1" customWidth="1"/>
    <col min="20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70">
        <v>0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  <c r="J4" s="70">
        <v>0</v>
      </c>
      <c r="K4" s="73">
        <v>0</v>
      </c>
      <c r="L4" s="167">
        <f>K4/(K4+K5)</f>
        <v>0</v>
      </c>
      <c r="M4" s="71">
        <f>J4-K4</f>
        <v>0</v>
      </c>
      <c r="N4" s="1"/>
      <c r="O4" s="6"/>
      <c r="P4" s="6"/>
      <c r="Q4" s="6"/>
      <c r="R4" s="51" t="s">
        <v>105</v>
      </c>
      <c r="S4" s="21">
        <f>L20</f>
        <v>27498.688911311605</v>
      </c>
      <c r="T4" s="171">
        <f>S4/1000</f>
        <v>27.498688911311604</v>
      </c>
      <c r="U4" s="172"/>
      <c r="W4" s="1"/>
    </row>
    <row r="5" spans="2:23" s="7" customFormat="1" x14ac:dyDescent="0.25">
      <c r="B5" s="19" t="s">
        <v>9</v>
      </c>
      <c r="C5" s="70">
        <v>2004</v>
      </c>
      <c r="D5" s="70">
        <v>0</v>
      </c>
      <c r="E5" s="70">
        <v>0</v>
      </c>
      <c r="F5" s="70">
        <v>0</v>
      </c>
      <c r="G5" s="70">
        <v>0</v>
      </c>
      <c r="H5" s="70">
        <v>28344</v>
      </c>
      <c r="I5" s="70">
        <v>0</v>
      </c>
      <c r="J5" s="70">
        <v>30348</v>
      </c>
      <c r="K5" s="73">
        <v>27575</v>
      </c>
      <c r="L5" s="167">
        <f>K5/(K4+K5)</f>
        <v>1</v>
      </c>
      <c r="M5" s="71">
        <f>J5-K5</f>
        <v>2773</v>
      </c>
      <c r="N5" s="1"/>
      <c r="O5" s="6"/>
      <c r="P5" s="6"/>
      <c r="Q5" s="6"/>
      <c r="R5" s="7" t="s">
        <v>106</v>
      </c>
      <c r="S5" s="21">
        <f>IF(K28&gt;0,0,K28)*-1</f>
        <v>215739.4</v>
      </c>
      <c r="T5" s="171">
        <f>S5/1000</f>
        <v>215.73939999999999</v>
      </c>
      <c r="W5" s="1"/>
    </row>
    <row r="6" spans="2:23" s="7" customFormat="1" x14ac:dyDescent="0.25">
      <c r="B6" s="19" t="s">
        <v>10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3">
        <v>0</v>
      </c>
      <c r="L6" s="119"/>
      <c r="M6" s="71"/>
      <c r="N6" s="1"/>
      <c r="O6" s="6"/>
      <c r="P6" s="6"/>
      <c r="Q6" s="6"/>
      <c r="R6" s="51" t="s">
        <v>104</v>
      </c>
      <c r="S6" s="171">
        <f>H10+H20+H40</f>
        <v>213829</v>
      </c>
      <c r="T6" s="171">
        <f>S6/1000</f>
        <v>213.82900000000001</v>
      </c>
      <c r="U6" s="172"/>
      <c r="W6" s="1"/>
    </row>
    <row r="7" spans="2:23" s="7" customFormat="1" x14ac:dyDescent="0.25">
      <c r="B7" s="19" t="s">
        <v>11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3">
        <v>0</v>
      </c>
      <c r="L7" s="119"/>
      <c r="M7" s="71"/>
      <c r="N7" s="1"/>
      <c r="O7" s="6"/>
      <c r="P7" s="6"/>
      <c r="Q7" s="6"/>
      <c r="R7" s="51" t="s">
        <v>56</v>
      </c>
      <c r="S7" s="171">
        <f>D10+D20+D40</f>
        <v>0</v>
      </c>
      <c r="T7" s="171">
        <f>S7/1000</f>
        <v>0</v>
      </c>
      <c r="U7" s="172"/>
      <c r="V7" s="6"/>
      <c r="W7" s="1"/>
    </row>
    <row r="8" spans="2:23" s="7" customFormat="1" x14ac:dyDescent="0.25">
      <c r="B8" s="19" t="s">
        <v>12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3">
        <v>30743</v>
      </c>
      <c r="L8" s="119"/>
      <c r="M8" s="71"/>
      <c r="N8" s="1"/>
      <c r="O8" s="6"/>
      <c r="P8" s="6"/>
      <c r="Q8" s="6"/>
      <c r="R8" s="51" t="s">
        <v>58</v>
      </c>
      <c r="S8" s="171">
        <f>G10+G20+G40</f>
        <v>148085</v>
      </c>
      <c r="T8" s="171">
        <f t="shared" ref="T8:T12" si="0">S8/1000</f>
        <v>148.08500000000001</v>
      </c>
      <c r="U8" s="172"/>
      <c r="V8" s="6"/>
      <c r="W8" s="1"/>
    </row>
    <row r="9" spans="2:23" s="7" customFormat="1" x14ac:dyDescent="0.25">
      <c r="B9" s="19" t="s">
        <v>13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3">
        <v>0</v>
      </c>
      <c r="L9" s="119"/>
      <c r="M9" s="71"/>
      <c r="N9" s="1"/>
      <c r="O9" s="6"/>
      <c r="P9" s="6"/>
      <c r="Q9" s="6"/>
      <c r="R9" s="51" t="s">
        <v>59</v>
      </c>
      <c r="S9" s="171">
        <f>E10+E20+E40</f>
        <v>968.375</v>
      </c>
      <c r="T9" s="171">
        <f t="shared" si="0"/>
        <v>0.96837499999999999</v>
      </c>
      <c r="U9" s="172"/>
      <c r="V9" s="6"/>
      <c r="W9" s="1"/>
    </row>
    <row r="10" spans="2:23" s="7" customFormat="1" x14ac:dyDescent="0.25">
      <c r="B10" s="19" t="s">
        <v>14</v>
      </c>
      <c r="C10" s="73">
        <f t="shared" ref="C10:K10" si="1">SUM(C4:C9)</f>
        <v>2004</v>
      </c>
      <c r="D10" s="73">
        <f t="shared" si="1"/>
        <v>0</v>
      </c>
      <c r="E10" s="73">
        <f t="shared" si="1"/>
        <v>0</v>
      </c>
      <c r="F10" s="73">
        <f t="shared" si="1"/>
        <v>0</v>
      </c>
      <c r="G10" s="73">
        <f t="shared" ref="G10" si="2">SUM(G4:G9)</f>
        <v>0</v>
      </c>
      <c r="H10" s="73">
        <f t="shared" si="1"/>
        <v>28344</v>
      </c>
      <c r="I10" s="73">
        <f t="shared" si="1"/>
        <v>0</v>
      </c>
      <c r="J10" s="73">
        <f t="shared" si="1"/>
        <v>30348</v>
      </c>
      <c r="K10" s="73">
        <f t="shared" si="1"/>
        <v>58318</v>
      </c>
      <c r="L10" s="119"/>
      <c r="M10" s="71">
        <f>SUM(M4:M9)</f>
        <v>2773</v>
      </c>
      <c r="N10" s="1"/>
      <c r="O10" s="6"/>
      <c r="P10" s="6"/>
      <c r="Q10" s="6"/>
      <c r="R10" s="51" t="s">
        <v>25</v>
      </c>
      <c r="S10" s="171">
        <f>I10+I20+I40</f>
        <v>0</v>
      </c>
      <c r="T10" s="171">
        <f t="shared" si="0"/>
        <v>0</v>
      </c>
      <c r="U10" s="172"/>
      <c r="V10" s="6"/>
      <c r="W10" s="1"/>
    </row>
    <row r="11" spans="2:23" s="7" customFormat="1" x14ac:dyDescent="0.25">
      <c r="B11" s="22"/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120"/>
      <c r="N11" s="1"/>
      <c r="O11" s="6"/>
      <c r="P11" s="6"/>
      <c r="Q11" s="6"/>
      <c r="R11" s="51" t="s">
        <v>60</v>
      </c>
      <c r="S11" s="171">
        <f>F10+F20+F40</f>
        <v>9567</v>
      </c>
      <c r="T11" s="171">
        <f t="shared" si="0"/>
        <v>9.5670000000000002</v>
      </c>
      <c r="U11" s="172"/>
      <c r="V11" s="6"/>
      <c r="W11" s="1"/>
    </row>
    <row r="12" spans="2:23" s="7" customFormat="1" x14ac:dyDescent="0.25">
      <c r="B12" s="23" t="s">
        <v>15</v>
      </c>
      <c r="C12" s="75"/>
      <c r="D12" s="75"/>
      <c r="E12" s="75"/>
      <c r="F12" s="75"/>
      <c r="G12" s="75"/>
      <c r="H12" s="75"/>
      <c r="I12" s="75"/>
      <c r="J12" s="119"/>
      <c r="K12" s="119">
        <v>0</v>
      </c>
      <c r="L12" s="76"/>
      <c r="M12" s="120"/>
      <c r="N12" s="1"/>
      <c r="O12" s="6"/>
      <c r="P12" s="6"/>
      <c r="Q12" s="6"/>
      <c r="R12" s="51" t="s">
        <v>61</v>
      </c>
      <c r="S12" s="171">
        <f>C10+C20+C40</f>
        <v>137541</v>
      </c>
      <c r="T12" s="171">
        <f t="shared" si="0"/>
        <v>137.541</v>
      </c>
      <c r="U12" s="172"/>
      <c r="V12" s="6"/>
      <c r="W12" s="1"/>
    </row>
    <row r="13" spans="2:23" x14ac:dyDescent="0.25">
      <c r="B13" s="2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21"/>
      <c r="N13" s="6"/>
      <c r="R13" s="173" t="s">
        <v>108</v>
      </c>
      <c r="S13" s="171">
        <f>SUM(S4:S12)</f>
        <v>753228.46391131158</v>
      </c>
      <c r="T13" s="171">
        <f>SUM(T4:T12)</f>
        <v>753.22846391131156</v>
      </c>
      <c r="U13" s="172"/>
    </row>
    <row r="14" spans="2:23" ht="18.75" x14ac:dyDescent="0.3">
      <c r="B14" s="26" t="s">
        <v>16</v>
      </c>
      <c r="C14" s="122"/>
      <c r="D14" s="122"/>
      <c r="E14" s="122"/>
      <c r="F14" s="122"/>
      <c r="G14" s="122"/>
      <c r="H14" s="122"/>
      <c r="I14" s="122"/>
      <c r="J14" s="122"/>
      <c r="K14" s="101" t="s">
        <v>17</v>
      </c>
      <c r="L14" s="123" t="s">
        <v>18</v>
      </c>
      <c r="M14" s="124"/>
      <c r="N14" s="27" t="s">
        <v>19</v>
      </c>
      <c r="O14" s="28"/>
      <c r="R14" t="s">
        <v>109</v>
      </c>
      <c r="S14" s="59">
        <f>K8</f>
        <v>30743</v>
      </c>
      <c r="T14" s="59">
        <f>S14/1000</f>
        <v>30.742999999999999</v>
      </c>
      <c r="U14" s="172"/>
      <c r="V14"/>
    </row>
    <row r="15" spans="2:23" x14ac:dyDescent="0.25">
      <c r="B15" s="19" t="s">
        <v>20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125">
        <f>K15/(1-N15)</f>
        <v>0</v>
      </c>
      <c r="M15" s="126">
        <f>J15-L15</f>
        <v>0</v>
      </c>
      <c r="N15" s="29">
        <v>0.03</v>
      </c>
      <c r="P15" s="30"/>
      <c r="R15" t="s">
        <v>110</v>
      </c>
      <c r="S15" s="59">
        <f>K9</f>
        <v>0</v>
      </c>
      <c r="T15" s="59">
        <f t="shared" ref="T15:T16" si="3">S15/1000</f>
        <v>0</v>
      </c>
      <c r="U15" s="172"/>
      <c r="V15"/>
    </row>
    <row r="16" spans="2:23" x14ac:dyDescent="0.25">
      <c r="B16" s="19" t="s">
        <v>21</v>
      </c>
      <c r="C16" s="73">
        <v>1221</v>
      </c>
      <c r="D16" s="73">
        <v>0</v>
      </c>
      <c r="E16" s="73">
        <v>0</v>
      </c>
      <c r="F16" s="73">
        <v>0</v>
      </c>
      <c r="G16" s="73">
        <v>0</v>
      </c>
      <c r="H16" s="73">
        <v>8311</v>
      </c>
      <c r="I16" s="73">
        <v>0</v>
      </c>
      <c r="J16" s="73">
        <v>9532</v>
      </c>
      <c r="K16" s="73">
        <v>7622</v>
      </c>
      <c r="L16" s="125">
        <f>K16/(1-N16)</f>
        <v>7857.7319587628872</v>
      </c>
      <c r="M16" s="126">
        <f>J16-L16</f>
        <v>1674.2680412371128</v>
      </c>
      <c r="N16" s="29">
        <v>0.03</v>
      </c>
      <c r="P16" s="30"/>
      <c r="R16" t="s">
        <v>111</v>
      </c>
      <c r="S16" s="59">
        <f>K6+K7</f>
        <v>0</v>
      </c>
      <c r="T16" s="59">
        <f t="shared" si="3"/>
        <v>0</v>
      </c>
      <c r="U16" s="172"/>
      <c r="V16" s="6"/>
    </row>
    <row r="17" spans="2:23" x14ac:dyDescent="0.25">
      <c r="B17" s="19" t="s">
        <v>22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125">
        <f>K17/(1-N17)</f>
        <v>0</v>
      </c>
      <c r="M17" s="126">
        <f>J17-L17</f>
        <v>0</v>
      </c>
      <c r="N17" s="29">
        <v>0.03</v>
      </c>
      <c r="P17" s="30"/>
      <c r="R17" t="s">
        <v>112</v>
      </c>
      <c r="S17" s="59">
        <f>SUM(S13:S16)</f>
        <v>783971.46391131158</v>
      </c>
      <c r="T17" s="59">
        <f>SUM(T13:T16)</f>
        <v>783.97146391131162</v>
      </c>
      <c r="U17" s="172"/>
      <c r="V17" s="6"/>
      <c r="W17" s="6"/>
    </row>
    <row r="18" spans="2:23" ht="17.25" x14ac:dyDescent="0.4">
      <c r="B18" s="19" t="s">
        <v>23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118">
        <v>16362.662116040956</v>
      </c>
      <c r="L18" s="125">
        <f>K18/(1-N18)</f>
        <v>16494.619068589673</v>
      </c>
      <c r="M18" s="126"/>
      <c r="N18" s="31">
        <v>8.0000000000000002E-3</v>
      </c>
      <c r="P18" s="30"/>
      <c r="R18"/>
      <c r="S18"/>
      <c r="T18"/>
      <c r="U18"/>
      <c r="V18" s="6"/>
    </row>
    <row r="19" spans="2:23" ht="17.25" x14ac:dyDescent="0.4">
      <c r="B19" s="19" t="s">
        <v>24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118">
        <v>3146.3378839590441</v>
      </c>
      <c r="L19" s="125">
        <f>K19/(1-N19)</f>
        <v>3146.3378839590441</v>
      </c>
      <c r="M19" s="126"/>
      <c r="N19" s="1">
        <v>0</v>
      </c>
      <c r="P19" s="30"/>
      <c r="R19" s="19" t="s">
        <v>113</v>
      </c>
      <c r="S19" s="21">
        <f>IF(K28&lt;0,0,K28)</f>
        <v>0</v>
      </c>
      <c r="T19" s="171">
        <f t="shared" ref="T19:T25" si="4">S19/1000</f>
        <v>0</v>
      </c>
      <c r="U19"/>
      <c r="V19" s="6"/>
    </row>
    <row r="20" spans="2:23" x14ac:dyDescent="0.25">
      <c r="B20" s="19" t="s">
        <v>14</v>
      </c>
      <c r="C20" s="73">
        <f t="shared" ref="C20:J20" si="5">SUM(C15:C19)</f>
        <v>1221</v>
      </c>
      <c r="D20" s="73">
        <f t="shared" si="5"/>
        <v>0</v>
      </c>
      <c r="E20" s="73">
        <f t="shared" si="5"/>
        <v>0</v>
      </c>
      <c r="F20" s="73">
        <f t="shared" si="5"/>
        <v>0</v>
      </c>
      <c r="G20" s="73">
        <f t="shared" ref="G20" si="6">SUM(G15:G19)</f>
        <v>0</v>
      </c>
      <c r="H20" s="73">
        <f t="shared" si="5"/>
        <v>8311</v>
      </c>
      <c r="I20" s="73">
        <f t="shared" si="5"/>
        <v>0</v>
      </c>
      <c r="J20" s="73">
        <f t="shared" si="5"/>
        <v>9532</v>
      </c>
      <c r="K20" s="73">
        <f>SUM(K15:K19)</f>
        <v>27131</v>
      </c>
      <c r="L20" s="86">
        <f>SUM(L15:L19)</f>
        <v>27498.688911311605</v>
      </c>
      <c r="M20" s="86">
        <f>SUM(M15:M19)</f>
        <v>1674.2680412371128</v>
      </c>
      <c r="N20" s="32"/>
      <c r="O20" s="33"/>
      <c r="P20" s="30"/>
      <c r="R20" s="19" t="s">
        <v>35</v>
      </c>
      <c r="S20" s="174">
        <f>L32</f>
        <v>32028</v>
      </c>
      <c r="T20" s="171">
        <f t="shared" si="4"/>
        <v>32.027999999999999</v>
      </c>
      <c r="U20"/>
      <c r="V20" s="6"/>
    </row>
    <row r="21" spans="2:23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8"/>
      <c r="L21" s="87"/>
      <c r="M21" s="79"/>
      <c r="N21" s="30"/>
      <c r="R21" s="19" t="s">
        <v>36</v>
      </c>
      <c r="S21" s="174">
        <f>L33</f>
        <v>418014.375</v>
      </c>
      <c r="T21" s="171">
        <f t="shared" si="4"/>
        <v>418.01437499999997</v>
      </c>
      <c r="U21" s="172"/>
    </row>
    <row r="22" spans="2:23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R22" s="19" t="s">
        <v>37</v>
      </c>
      <c r="S22" s="174">
        <f>L34</f>
        <v>16638</v>
      </c>
      <c r="T22" s="171">
        <f t="shared" si="4"/>
        <v>16.638000000000002</v>
      </c>
      <c r="U22" s="172"/>
    </row>
    <row r="23" spans="2:23" ht="15.75" thickBot="1" x14ac:dyDescent="0.3">
      <c r="B23" s="35" t="s">
        <v>25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  <c r="R23" s="19" t="s">
        <v>38</v>
      </c>
      <c r="S23" s="174">
        <f>L35</f>
        <v>102999</v>
      </c>
      <c r="T23" s="171">
        <f t="shared" si="4"/>
        <v>102.999</v>
      </c>
      <c r="U23" s="172"/>
    </row>
    <row r="24" spans="2:23" x14ac:dyDescent="0.25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R24" s="19" t="s">
        <v>39</v>
      </c>
      <c r="S24" s="174">
        <f>L36</f>
        <v>44593</v>
      </c>
      <c r="T24" s="171">
        <f t="shared" si="4"/>
        <v>44.593000000000004</v>
      </c>
      <c r="U24" s="172"/>
    </row>
    <row r="25" spans="2:23" ht="15.75" thickBot="1" x14ac:dyDescent="0.3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R25" s="19" t="s">
        <v>44</v>
      </c>
      <c r="S25" s="174">
        <f>L41</f>
        <v>134509</v>
      </c>
      <c r="T25" s="171">
        <f t="shared" si="4"/>
        <v>134.50899999999999</v>
      </c>
      <c r="U25" s="172"/>
    </row>
    <row r="26" spans="2:23" ht="15.75" thickBot="1" x14ac:dyDescent="0.3">
      <c r="B26" s="8"/>
      <c r="C26" s="105"/>
      <c r="D26" s="105"/>
      <c r="E26" s="105"/>
      <c r="F26" s="105"/>
      <c r="G26" s="105"/>
      <c r="H26" s="105"/>
      <c r="I26" s="87"/>
      <c r="J26" s="106" t="s">
        <v>26</v>
      </c>
      <c r="K26" s="107" t="s">
        <v>27</v>
      </c>
      <c r="L26" s="87"/>
      <c r="M26" s="87"/>
      <c r="N26" s="38" t="s">
        <v>28</v>
      </c>
      <c r="R26" s="19" t="s">
        <v>114</v>
      </c>
      <c r="S26" s="60">
        <f>SUM(S20:S25)</f>
        <v>748781.375</v>
      </c>
      <c r="T26" s="60">
        <f>SUM(T20:T25)</f>
        <v>748.78137499999991</v>
      </c>
      <c r="U26" s="172"/>
    </row>
    <row r="27" spans="2:23" x14ac:dyDescent="0.25">
      <c r="B27" s="39" t="s">
        <v>29</v>
      </c>
      <c r="C27" s="78"/>
      <c r="D27" s="78"/>
      <c r="E27" s="78"/>
      <c r="F27" s="78"/>
      <c r="G27" s="78"/>
      <c r="H27" s="78"/>
      <c r="I27" s="87"/>
      <c r="J27" s="103">
        <f>K10-J40</f>
        <v>4527</v>
      </c>
      <c r="K27" s="134">
        <f>K40*8%</f>
        <v>17990.400000000001</v>
      </c>
      <c r="L27" s="87"/>
      <c r="M27" s="87"/>
      <c r="N27" s="40">
        <f>100-(J40/K10*100)</f>
        <v>7.7626118865530458</v>
      </c>
      <c r="R27" s="175" t="s">
        <v>115</v>
      </c>
      <c r="S27" s="176"/>
      <c r="T27" s="177">
        <f t="shared" ref="T27:T34" si="7">S27/1000</f>
        <v>0</v>
      </c>
      <c r="U27" s="172"/>
    </row>
    <row r="28" spans="2:23" ht="15.75" thickBot="1" x14ac:dyDescent="0.3">
      <c r="B28" s="35" t="s">
        <v>30</v>
      </c>
      <c r="C28" s="88"/>
      <c r="D28" s="88"/>
      <c r="E28" s="88"/>
      <c r="F28" s="88"/>
      <c r="G28" s="88"/>
      <c r="H28" s="88"/>
      <c r="I28" s="88"/>
      <c r="J28" s="109">
        <f>J40+J27-K10</f>
        <v>0</v>
      </c>
      <c r="K28" s="95">
        <f>K20-K27-K40</f>
        <v>-215739.4</v>
      </c>
      <c r="L28" s="87"/>
      <c r="M28" s="87"/>
      <c r="N28" s="1" t="str">
        <f>IF(N27&gt;10,"OBS! HÖGA FÖRLUSTER","OK")</f>
        <v>OK</v>
      </c>
      <c r="R28" s="51" t="s">
        <v>116</v>
      </c>
      <c r="S28" s="52">
        <f>K27</f>
        <v>17990.400000000001</v>
      </c>
      <c r="T28" s="178">
        <f t="shared" si="7"/>
        <v>17.990400000000001</v>
      </c>
      <c r="U28" s="172"/>
    </row>
    <row r="29" spans="2:23" ht="15.75" thickBot="1" x14ac:dyDescent="0.3"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R29" s="51" t="s">
        <v>117</v>
      </c>
      <c r="S29" s="52">
        <f>J27</f>
        <v>4527</v>
      </c>
      <c r="T29" s="178">
        <f t="shared" si="7"/>
        <v>4.5270000000000001</v>
      </c>
      <c r="U29" s="50"/>
    </row>
    <row r="30" spans="2:23" ht="15.75" thickBot="1" x14ac:dyDescent="0.3">
      <c r="B30" s="8"/>
      <c r="C30" s="110" t="s">
        <v>0</v>
      </c>
      <c r="D30" s="110"/>
      <c r="E30" s="110"/>
      <c r="F30" s="110" t="s">
        <v>1</v>
      </c>
      <c r="G30" s="110"/>
      <c r="H30" s="110"/>
      <c r="I30" s="105"/>
      <c r="J30" s="105"/>
      <c r="K30" s="105"/>
      <c r="L30" s="111"/>
      <c r="M30" s="87"/>
      <c r="R30" s="51" t="s">
        <v>118</v>
      </c>
      <c r="S30" s="52">
        <f>L20-K20</f>
        <v>367.6889113116049</v>
      </c>
      <c r="T30" s="178">
        <f t="shared" si="7"/>
        <v>0.36768891131160492</v>
      </c>
      <c r="U30" s="55"/>
    </row>
    <row r="31" spans="2:23" ht="30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112" t="s">
        <v>32</v>
      </c>
      <c r="K31" s="112" t="s">
        <v>33</v>
      </c>
      <c r="L31" s="113" t="s">
        <v>34</v>
      </c>
      <c r="M31" s="87"/>
      <c r="R31" s="51" t="s">
        <v>119</v>
      </c>
      <c r="S31" s="52">
        <f>M4</f>
        <v>0</v>
      </c>
      <c r="T31" s="178">
        <f t="shared" si="7"/>
        <v>0</v>
      </c>
      <c r="U31" s="55"/>
    </row>
    <row r="32" spans="2:23" x14ac:dyDescent="0.25">
      <c r="B32" s="19" t="s">
        <v>35</v>
      </c>
      <c r="C32" s="73">
        <v>15076</v>
      </c>
      <c r="D32" s="73">
        <v>0</v>
      </c>
      <c r="E32" s="128">
        <v>0</v>
      </c>
      <c r="F32" s="128">
        <v>1593</v>
      </c>
      <c r="G32" s="128"/>
      <c r="H32" s="128">
        <v>0</v>
      </c>
      <c r="I32" s="73">
        <v>0</v>
      </c>
      <c r="J32" s="73">
        <v>0</v>
      </c>
      <c r="K32" s="73">
        <v>15359</v>
      </c>
      <c r="L32" s="71">
        <f>SUM(C32:K32)</f>
        <v>32028</v>
      </c>
      <c r="M32" s="87"/>
      <c r="R32" s="51" t="s">
        <v>120</v>
      </c>
      <c r="S32" s="52">
        <f>M5</f>
        <v>2773</v>
      </c>
      <c r="T32" s="178">
        <f t="shared" si="7"/>
        <v>2.7730000000000001</v>
      </c>
      <c r="U32"/>
    </row>
    <row r="33" spans="2:40" ht="17.25" x14ac:dyDescent="0.4">
      <c r="B33" s="19" t="s">
        <v>36</v>
      </c>
      <c r="C33" s="73">
        <v>20941</v>
      </c>
      <c r="D33" s="73">
        <v>0</v>
      </c>
      <c r="E33" s="118">
        <v>968.375</v>
      </c>
      <c r="F33" s="1">
        <v>0</v>
      </c>
      <c r="G33" s="118">
        <v>148085</v>
      </c>
      <c r="H33" s="118">
        <v>132896</v>
      </c>
      <c r="I33" s="73">
        <v>0</v>
      </c>
      <c r="J33" s="73">
        <v>6993</v>
      </c>
      <c r="K33" s="73">
        <v>108131</v>
      </c>
      <c r="L33" s="71">
        <f t="shared" ref="L33:L40" si="8">SUM(C33:K33)</f>
        <v>418014.375</v>
      </c>
      <c r="M33" s="87"/>
      <c r="R33" s="51" t="s">
        <v>121</v>
      </c>
      <c r="S33" s="52">
        <f>M15</f>
        <v>0</v>
      </c>
      <c r="T33" s="178">
        <f t="shared" si="7"/>
        <v>0</v>
      </c>
      <c r="U33" s="55"/>
    </row>
    <row r="34" spans="2:40" ht="15.75" thickBot="1" x14ac:dyDescent="0.3">
      <c r="B34" s="19" t="s">
        <v>37</v>
      </c>
      <c r="C34" s="73">
        <v>1517</v>
      </c>
      <c r="D34" s="73">
        <v>0</v>
      </c>
      <c r="E34" s="73">
        <v>0</v>
      </c>
      <c r="F34" s="73">
        <v>0</v>
      </c>
      <c r="G34" s="73"/>
      <c r="H34" s="73">
        <v>0</v>
      </c>
      <c r="I34" s="73">
        <v>0</v>
      </c>
      <c r="J34" s="73">
        <v>7695</v>
      </c>
      <c r="K34" s="73">
        <v>7426</v>
      </c>
      <c r="L34" s="71">
        <f t="shared" si="8"/>
        <v>16638</v>
      </c>
      <c r="M34" s="87"/>
      <c r="R34" s="56" t="s">
        <v>122</v>
      </c>
      <c r="S34" s="179">
        <f>M16</f>
        <v>1674.2680412371128</v>
      </c>
      <c r="T34" s="180">
        <f t="shared" si="7"/>
        <v>1.6742680412371127</v>
      </c>
      <c r="U34" s="55"/>
    </row>
    <row r="35" spans="2:40" x14ac:dyDescent="0.25">
      <c r="B35" s="19" t="s">
        <v>38</v>
      </c>
      <c r="C35" s="73">
        <v>95025</v>
      </c>
      <c r="D35" s="73">
        <v>0</v>
      </c>
      <c r="E35" s="73">
        <v>0</v>
      </c>
      <c r="F35" s="73">
        <v>7974</v>
      </c>
      <c r="G35" s="73"/>
      <c r="H35" s="73">
        <v>0</v>
      </c>
      <c r="I35" s="73">
        <v>0</v>
      </c>
      <c r="J35" s="73">
        <v>0</v>
      </c>
      <c r="K35" s="73">
        <v>0</v>
      </c>
      <c r="L35" s="71">
        <f t="shared" si="8"/>
        <v>102999</v>
      </c>
      <c r="M35" s="87"/>
      <c r="R35" s="173" t="s">
        <v>123</v>
      </c>
      <c r="S35" s="181">
        <f>SUM(S28:S34)</f>
        <v>27332.356952548718</v>
      </c>
      <c r="T35" s="182">
        <f>SUM(T28:T34)</f>
        <v>27.332356952548718</v>
      </c>
      <c r="U35" s="55"/>
    </row>
    <row r="36" spans="2:40" x14ac:dyDescent="0.25">
      <c r="B36" s="19" t="s">
        <v>39</v>
      </c>
      <c r="C36" s="73">
        <v>555</v>
      </c>
      <c r="D36" s="73">
        <v>0</v>
      </c>
      <c r="E36" s="73">
        <v>0</v>
      </c>
      <c r="F36" s="73">
        <v>0</v>
      </c>
      <c r="G36" s="73"/>
      <c r="H36" s="73">
        <v>0</v>
      </c>
      <c r="I36" s="73">
        <v>0</v>
      </c>
      <c r="J36" s="73">
        <v>13560</v>
      </c>
      <c r="K36" s="73">
        <v>30478</v>
      </c>
      <c r="L36" s="71">
        <f t="shared" si="8"/>
        <v>44593</v>
      </c>
      <c r="M36" s="87"/>
      <c r="R36" s="173" t="s">
        <v>124</v>
      </c>
      <c r="S36"/>
      <c r="T36" s="60">
        <f>T26+T35+T19</f>
        <v>776.11373195254862</v>
      </c>
    </row>
    <row r="37" spans="2:40" x14ac:dyDescent="0.25">
      <c r="B37" s="19" t="s">
        <v>40</v>
      </c>
      <c r="C37" s="73">
        <v>1202</v>
      </c>
      <c r="D37" s="73">
        <v>0</v>
      </c>
      <c r="E37" s="73">
        <v>0</v>
      </c>
      <c r="F37" s="73">
        <v>0</v>
      </c>
      <c r="G37" s="73"/>
      <c r="H37" s="73">
        <v>44278</v>
      </c>
      <c r="I37" s="73">
        <v>0</v>
      </c>
      <c r="J37" s="73">
        <v>1351</v>
      </c>
      <c r="K37" s="73">
        <v>52325</v>
      </c>
      <c r="L37" s="71">
        <f t="shared" si="8"/>
        <v>99156</v>
      </c>
      <c r="M37" s="87"/>
      <c r="R37" s="1" t="s">
        <v>125</v>
      </c>
      <c r="S37"/>
      <c r="T37" s="183">
        <f>T17-T36</f>
        <v>7.8577319587629972</v>
      </c>
      <c r="U37"/>
    </row>
    <row r="38" spans="2:40" x14ac:dyDescent="0.25">
      <c r="B38" s="19" t="s">
        <v>41</v>
      </c>
      <c r="C38" s="73">
        <v>0</v>
      </c>
      <c r="D38" s="73">
        <v>0</v>
      </c>
      <c r="E38" s="73">
        <v>0</v>
      </c>
      <c r="F38" s="73">
        <v>0</v>
      </c>
      <c r="G38" s="73"/>
      <c r="H38" s="73">
        <v>0</v>
      </c>
      <c r="I38" s="73">
        <v>0</v>
      </c>
      <c r="J38" s="73">
        <v>24192</v>
      </c>
      <c r="K38" s="73">
        <v>5206</v>
      </c>
      <c r="L38" s="71">
        <f t="shared" si="8"/>
        <v>29398</v>
      </c>
      <c r="M38" s="115"/>
      <c r="O38" s="6"/>
      <c r="P38" s="6"/>
      <c r="Q38" s="6"/>
      <c r="R38" s="173" t="s">
        <v>124</v>
      </c>
      <c r="S38"/>
      <c r="T38" s="60">
        <f>T28+T37+T21</f>
        <v>443.86250695876299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73">
        <v>0</v>
      </c>
      <c r="D39" s="73">
        <v>0</v>
      </c>
      <c r="E39" s="73">
        <v>0</v>
      </c>
      <c r="F39" s="73">
        <v>0</v>
      </c>
      <c r="G39" s="73"/>
      <c r="H39" s="73">
        <v>0</v>
      </c>
      <c r="I39" s="73">
        <v>0</v>
      </c>
      <c r="J39" s="73">
        <v>0</v>
      </c>
      <c r="K39" s="73">
        <v>5955</v>
      </c>
      <c r="L39" s="71">
        <f t="shared" si="8"/>
        <v>5955</v>
      </c>
      <c r="M39" s="87"/>
      <c r="S39" s="172"/>
      <c r="T39" s="184"/>
      <c r="U39" s="172"/>
    </row>
    <row r="40" spans="2:40" x14ac:dyDescent="0.25">
      <c r="B40" s="19" t="s">
        <v>43</v>
      </c>
      <c r="C40" s="69">
        <f>SUM(C32:C39)</f>
        <v>134316</v>
      </c>
      <c r="D40" s="69">
        <f t="shared" ref="D40:K40" si="9">SUM(D32:D39)</f>
        <v>0</v>
      </c>
      <c r="E40" s="130">
        <f t="shared" si="9"/>
        <v>968.375</v>
      </c>
      <c r="F40" s="130">
        <f t="shared" si="9"/>
        <v>9567</v>
      </c>
      <c r="G40" s="130">
        <f t="shared" ref="G40" si="10">SUM(G32:G39)</f>
        <v>148085</v>
      </c>
      <c r="H40" s="130">
        <f t="shared" si="9"/>
        <v>177174</v>
      </c>
      <c r="I40" s="69">
        <f t="shared" si="9"/>
        <v>0</v>
      </c>
      <c r="J40" s="69">
        <f t="shared" si="9"/>
        <v>53791</v>
      </c>
      <c r="K40" s="69">
        <f t="shared" si="9"/>
        <v>224880</v>
      </c>
      <c r="L40" s="71">
        <f t="shared" si="8"/>
        <v>748781.375</v>
      </c>
      <c r="M40" s="87"/>
    </row>
    <row r="41" spans="2:40" x14ac:dyDescent="0.25">
      <c r="B41" s="19" t="s">
        <v>44</v>
      </c>
      <c r="C41" s="69">
        <f>SUM(C37:C39)</f>
        <v>1202</v>
      </c>
      <c r="D41" s="69">
        <f t="shared" ref="D41:L41" si="11">SUM(D37:D39)</f>
        <v>0</v>
      </c>
      <c r="E41" s="69">
        <f t="shared" si="11"/>
        <v>0</v>
      </c>
      <c r="F41" s="69">
        <f t="shared" si="11"/>
        <v>0</v>
      </c>
      <c r="G41" s="69">
        <f t="shared" ref="G41" si="12">SUM(G37:G39)</f>
        <v>0</v>
      </c>
      <c r="H41" s="69">
        <f t="shared" si="11"/>
        <v>44278</v>
      </c>
      <c r="I41" s="69">
        <f t="shared" si="11"/>
        <v>0</v>
      </c>
      <c r="J41" s="69">
        <f t="shared" si="11"/>
        <v>25543</v>
      </c>
      <c r="K41" s="69">
        <f t="shared" si="11"/>
        <v>63486</v>
      </c>
      <c r="L41" s="69">
        <f t="shared" si="11"/>
        <v>134509</v>
      </c>
      <c r="M41" s="87"/>
    </row>
    <row r="42" spans="2:40" x14ac:dyDescent="0.25">
      <c r="B42" s="24"/>
      <c r="C42" s="42"/>
      <c r="D42" s="42"/>
      <c r="E42" s="42"/>
      <c r="F42" s="65">
        <f>F40+G40</f>
        <v>157652</v>
      </c>
      <c r="G42" s="42"/>
      <c r="H42" s="42"/>
      <c r="I42" s="42"/>
      <c r="J42" s="42"/>
      <c r="K42" s="42"/>
      <c r="L42" s="43"/>
    </row>
    <row r="43" spans="2:40" ht="15.75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6"/>
    </row>
    <row r="46" spans="2:40" x14ac:dyDescent="0.25">
      <c r="E46" s="30"/>
    </row>
    <row r="47" spans="2:40" x14ac:dyDescent="0.25">
      <c r="E47" s="30"/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4"/>
  <sheetViews>
    <sheetView zoomScale="70" zoomScaleNormal="70" workbookViewId="0">
      <selection activeCell="L20" sqref="L20:M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4.42578125" style="1" bestFit="1" customWidth="1"/>
    <col min="4" max="5" width="9.28515625" style="1" bestFit="1" customWidth="1"/>
    <col min="6" max="7" width="10.7109375" style="1" customWidth="1"/>
    <col min="8" max="8" width="13.5703125" style="1" bestFit="1" customWidth="1"/>
    <col min="9" max="9" width="9.2851562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6" style="1" bestFit="1" customWidth="1"/>
    <col min="19" max="19" width="14" style="1" bestFit="1" customWidth="1"/>
    <col min="20" max="20" width="10" style="1" bestFit="1" customWidth="1"/>
    <col min="21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218">
        <v>0</v>
      </c>
      <c r="D4" s="218">
        <v>0</v>
      </c>
      <c r="E4" s="218">
        <v>0</v>
      </c>
      <c r="F4" s="218">
        <v>0</v>
      </c>
      <c r="G4" s="218">
        <v>0</v>
      </c>
      <c r="H4" s="218">
        <v>0</v>
      </c>
      <c r="I4" s="218">
        <v>0</v>
      </c>
      <c r="J4" s="218">
        <v>0</v>
      </c>
      <c r="K4" s="219">
        <v>0</v>
      </c>
      <c r="L4" s="167">
        <f>K4/(K4+K5)</f>
        <v>0</v>
      </c>
      <c r="M4" s="134">
        <f>J4-K4</f>
        <v>0</v>
      </c>
      <c r="N4" s="1"/>
      <c r="O4" s="6"/>
      <c r="P4" s="6"/>
      <c r="Q4" s="6"/>
      <c r="R4" s="51" t="s">
        <v>105</v>
      </c>
      <c r="S4" s="21">
        <f>L20</f>
        <v>757449.59677419357</v>
      </c>
      <c r="T4" s="171">
        <f>S4/1000</f>
        <v>757.44959677419354</v>
      </c>
      <c r="U4" s="172"/>
      <c r="W4" s="1"/>
    </row>
    <row r="5" spans="2:23" s="7" customFormat="1" x14ac:dyDescent="0.25">
      <c r="B5" s="19" t="s">
        <v>9</v>
      </c>
      <c r="C5" s="218">
        <v>726</v>
      </c>
      <c r="D5" s="218">
        <v>0</v>
      </c>
      <c r="E5" s="218">
        <v>0</v>
      </c>
      <c r="F5" s="218">
        <v>0</v>
      </c>
      <c r="G5" s="218">
        <v>0</v>
      </c>
      <c r="H5" s="218">
        <v>88985</v>
      </c>
      <c r="I5" s="218">
        <v>0</v>
      </c>
      <c r="J5" s="218">
        <v>89711</v>
      </c>
      <c r="K5" s="219">
        <v>78223</v>
      </c>
      <c r="L5" s="167">
        <f>K5/(K4+K5)</f>
        <v>1</v>
      </c>
      <c r="M5" s="134">
        <f>J5-K5</f>
        <v>11488</v>
      </c>
      <c r="N5" s="1"/>
      <c r="O5" s="6"/>
      <c r="P5" s="6"/>
      <c r="Q5" s="6"/>
      <c r="R5" s="7" t="s">
        <v>106</v>
      </c>
      <c r="S5" s="21">
        <f>IF(K28&gt;0,0,K28)*-1</f>
        <v>0</v>
      </c>
      <c r="T5" s="171">
        <f>S5/1000</f>
        <v>0</v>
      </c>
      <c r="W5" s="1"/>
    </row>
    <row r="6" spans="2:23" s="7" customFormat="1" x14ac:dyDescent="0.25">
      <c r="B6" s="19" t="s">
        <v>10</v>
      </c>
      <c r="C6" s="218">
        <v>0</v>
      </c>
      <c r="D6" s="218">
        <v>0</v>
      </c>
      <c r="E6" s="218">
        <v>0</v>
      </c>
      <c r="F6" s="218">
        <v>0</v>
      </c>
      <c r="G6" s="218">
        <v>0</v>
      </c>
      <c r="H6" s="218">
        <v>0</v>
      </c>
      <c r="I6" s="218">
        <v>0</v>
      </c>
      <c r="J6" s="218">
        <v>0</v>
      </c>
      <c r="K6" s="219">
        <v>0</v>
      </c>
      <c r="L6" s="133"/>
      <c r="M6" s="134"/>
      <c r="N6" s="1"/>
      <c r="O6" s="6"/>
      <c r="P6" s="6"/>
      <c r="Q6" s="6"/>
      <c r="R6" s="51" t="s">
        <v>104</v>
      </c>
      <c r="S6" s="171">
        <f>H10+H20+H40</f>
        <v>178938</v>
      </c>
      <c r="T6" s="171">
        <f>S6/1000</f>
        <v>178.93799999999999</v>
      </c>
      <c r="U6" s="172"/>
      <c r="W6" s="1"/>
    </row>
    <row r="7" spans="2:23" s="7" customFormat="1" x14ac:dyDescent="0.25">
      <c r="B7" s="19" t="s">
        <v>11</v>
      </c>
      <c r="C7" s="218">
        <v>0</v>
      </c>
      <c r="D7" s="218">
        <v>0</v>
      </c>
      <c r="E7" s="218">
        <v>0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219">
        <v>0</v>
      </c>
      <c r="L7" s="133"/>
      <c r="M7" s="134"/>
      <c r="N7" s="1"/>
      <c r="O7" s="6"/>
      <c r="P7" s="6"/>
      <c r="Q7" s="6"/>
      <c r="R7" s="51" t="s">
        <v>56</v>
      </c>
      <c r="S7" s="171">
        <f>D10+D20+D40</f>
        <v>0</v>
      </c>
      <c r="T7" s="171">
        <f>S7/1000</f>
        <v>0</v>
      </c>
      <c r="U7" s="172"/>
      <c r="V7" s="6"/>
      <c r="W7" s="1"/>
    </row>
    <row r="8" spans="2:23" s="7" customFormat="1" x14ac:dyDescent="0.25">
      <c r="B8" s="19" t="s">
        <v>12</v>
      </c>
      <c r="C8" s="218">
        <v>0</v>
      </c>
      <c r="D8" s="218">
        <v>0</v>
      </c>
      <c r="E8" s="218">
        <v>0</v>
      </c>
      <c r="F8" s="218">
        <v>0</v>
      </c>
      <c r="G8" s="218">
        <v>0</v>
      </c>
      <c r="H8" s="218">
        <v>0</v>
      </c>
      <c r="I8" s="218">
        <v>0</v>
      </c>
      <c r="J8" s="218">
        <v>0</v>
      </c>
      <c r="K8" s="219">
        <v>0</v>
      </c>
      <c r="L8" s="133"/>
      <c r="M8" s="134"/>
      <c r="N8" s="1"/>
      <c r="O8" s="6"/>
      <c r="P8" s="6"/>
      <c r="Q8" s="6"/>
      <c r="R8" s="51" t="s">
        <v>58</v>
      </c>
      <c r="S8" s="171">
        <f>G10+G20+G40</f>
        <v>0</v>
      </c>
      <c r="T8" s="171">
        <f t="shared" ref="T8:T12" si="0">S8/1000</f>
        <v>0</v>
      </c>
      <c r="U8" s="172"/>
      <c r="V8" s="6"/>
      <c r="W8" s="1"/>
    </row>
    <row r="9" spans="2:23" s="7" customFormat="1" x14ac:dyDescent="0.25">
      <c r="B9" s="19" t="s">
        <v>13</v>
      </c>
      <c r="C9" s="218">
        <v>0</v>
      </c>
      <c r="D9" s="218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9">
        <v>16497</v>
      </c>
      <c r="L9" s="133"/>
      <c r="M9" s="134"/>
      <c r="N9" s="1"/>
      <c r="O9" s="6"/>
      <c r="P9" s="6"/>
      <c r="Q9" s="6"/>
      <c r="R9" s="51" t="s">
        <v>59</v>
      </c>
      <c r="S9" s="171">
        <f>E10+E20+E40</f>
        <v>0</v>
      </c>
      <c r="T9" s="171">
        <f t="shared" si="0"/>
        <v>0</v>
      </c>
      <c r="U9" s="172"/>
      <c r="V9" s="6"/>
      <c r="W9" s="1"/>
    </row>
    <row r="10" spans="2:23" s="7" customFormat="1" x14ac:dyDescent="0.25">
      <c r="B10" s="19" t="s">
        <v>14</v>
      </c>
      <c r="C10" s="219">
        <f t="shared" ref="C10:K10" si="1">SUM(C4:C9)</f>
        <v>726</v>
      </c>
      <c r="D10" s="219">
        <f t="shared" si="1"/>
        <v>0</v>
      </c>
      <c r="E10" s="219">
        <f t="shared" si="1"/>
        <v>0</v>
      </c>
      <c r="F10" s="219">
        <f t="shared" si="1"/>
        <v>0</v>
      </c>
      <c r="G10" s="219">
        <f t="shared" ref="G10" si="2">SUM(G4:G9)</f>
        <v>0</v>
      </c>
      <c r="H10" s="219">
        <f t="shared" si="1"/>
        <v>88985</v>
      </c>
      <c r="I10" s="219">
        <f t="shared" si="1"/>
        <v>0</v>
      </c>
      <c r="J10" s="219">
        <f t="shared" si="1"/>
        <v>89711</v>
      </c>
      <c r="K10" s="219">
        <f t="shared" si="1"/>
        <v>94720</v>
      </c>
      <c r="L10" s="133"/>
      <c r="M10" s="134">
        <f>SUM(M4:M9)</f>
        <v>11488</v>
      </c>
      <c r="N10" s="1"/>
      <c r="O10" s="6"/>
      <c r="P10" s="6"/>
      <c r="Q10" s="6"/>
      <c r="R10" s="51" t="s">
        <v>25</v>
      </c>
      <c r="S10" s="171">
        <f>I10+I20+I40</f>
        <v>0</v>
      </c>
      <c r="T10" s="171">
        <f t="shared" si="0"/>
        <v>0</v>
      </c>
      <c r="U10" s="172"/>
      <c r="V10" s="6"/>
      <c r="W10" s="1"/>
    </row>
    <row r="11" spans="2:23" s="7" customFormat="1" x14ac:dyDescent="0.25">
      <c r="B11" s="22"/>
      <c r="C11" s="220"/>
      <c r="D11" s="220"/>
      <c r="E11" s="220"/>
      <c r="F11" s="220"/>
      <c r="G11" s="220"/>
      <c r="H11" s="220"/>
      <c r="I11" s="220"/>
      <c r="J11" s="220"/>
      <c r="K11" s="220"/>
      <c r="L11" s="136"/>
      <c r="M11" s="137"/>
      <c r="N11" s="1"/>
      <c r="O11" s="6"/>
      <c r="P11" s="6"/>
      <c r="Q11" s="6"/>
      <c r="R11" s="51" t="s">
        <v>60</v>
      </c>
      <c r="S11" s="171">
        <f>F10+F20+F40</f>
        <v>18935</v>
      </c>
      <c r="T11" s="171">
        <f t="shared" si="0"/>
        <v>18.934999999999999</v>
      </c>
      <c r="U11" s="172"/>
      <c r="V11" s="6"/>
      <c r="W11" s="1"/>
    </row>
    <row r="12" spans="2:23" s="7" customFormat="1" x14ac:dyDescent="0.25">
      <c r="B12" s="23" t="s">
        <v>15</v>
      </c>
      <c r="C12" s="135"/>
      <c r="D12" s="135"/>
      <c r="E12" s="135"/>
      <c r="F12" s="135"/>
      <c r="G12" s="135"/>
      <c r="H12" s="135"/>
      <c r="I12" s="135"/>
      <c r="J12" s="133"/>
      <c r="K12" s="133"/>
      <c r="L12" s="136"/>
      <c r="M12" s="137"/>
      <c r="N12" s="1"/>
      <c r="O12" s="6"/>
      <c r="P12" s="6"/>
      <c r="Q12" s="6"/>
      <c r="R12" s="51" t="s">
        <v>61</v>
      </c>
      <c r="S12" s="171">
        <f>C10+C20+C40</f>
        <v>219139</v>
      </c>
      <c r="T12" s="171">
        <f t="shared" si="0"/>
        <v>219.13900000000001</v>
      </c>
      <c r="U12" s="172"/>
      <c r="V12" s="6"/>
      <c r="W12" s="1"/>
    </row>
    <row r="13" spans="2:23" x14ac:dyDescent="0.25">
      <c r="B13" s="2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8"/>
      <c r="N13" s="6"/>
      <c r="R13" s="173" t="s">
        <v>108</v>
      </c>
      <c r="S13" s="171">
        <f>SUM(S4:S12)</f>
        <v>1174461.5967741935</v>
      </c>
      <c r="T13" s="171">
        <f>SUM(T4:T12)</f>
        <v>1174.4615967741934</v>
      </c>
      <c r="U13" s="172"/>
    </row>
    <row r="14" spans="2:23" ht="18.75" x14ac:dyDescent="0.3">
      <c r="B14" s="26" t="s">
        <v>16</v>
      </c>
      <c r="C14" s="139"/>
      <c r="D14" s="139"/>
      <c r="E14" s="139"/>
      <c r="F14" s="139"/>
      <c r="G14" s="139"/>
      <c r="H14" s="139"/>
      <c r="I14" s="139"/>
      <c r="J14" s="139"/>
      <c r="K14" s="159" t="s">
        <v>17</v>
      </c>
      <c r="L14" s="140" t="s">
        <v>18</v>
      </c>
      <c r="M14" s="141"/>
      <c r="N14" s="27" t="s">
        <v>19</v>
      </c>
      <c r="O14" s="28"/>
      <c r="R14" t="s">
        <v>109</v>
      </c>
      <c r="S14" s="59">
        <f>K8</f>
        <v>0</v>
      </c>
      <c r="T14" s="59">
        <f>S14/1000</f>
        <v>0</v>
      </c>
      <c r="U14" s="172"/>
      <c r="V14"/>
    </row>
    <row r="15" spans="2:23" x14ac:dyDescent="0.25">
      <c r="B15" s="19" t="s">
        <v>20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42">
        <f>K15/(1-N15)</f>
        <v>0</v>
      </c>
      <c r="M15" s="143">
        <f>J15-L15</f>
        <v>0</v>
      </c>
      <c r="N15" s="29">
        <v>0.03</v>
      </c>
      <c r="P15" s="30"/>
      <c r="R15" t="s">
        <v>110</v>
      </c>
      <c r="S15" s="59">
        <f>K9</f>
        <v>16497</v>
      </c>
      <c r="T15" s="59">
        <f t="shared" ref="T15:T16" si="3">S15/1000</f>
        <v>16.497</v>
      </c>
      <c r="U15" s="172"/>
      <c r="V15"/>
    </row>
    <row r="16" spans="2:23" x14ac:dyDescent="0.25">
      <c r="B16" s="19" t="s">
        <v>21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42">
        <f>K16/(1-N16)</f>
        <v>0</v>
      </c>
      <c r="M16" s="143">
        <f>J16-L16</f>
        <v>0</v>
      </c>
      <c r="N16" s="29">
        <v>0.03</v>
      </c>
      <c r="P16" s="30"/>
      <c r="R16" t="s">
        <v>111</v>
      </c>
      <c r="S16" s="59">
        <f>K6+K7</f>
        <v>0</v>
      </c>
      <c r="T16" s="59">
        <f t="shared" si="3"/>
        <v>0</v>
      </c>
      <c r="U16" s="172"/>
      <c r="V16" s="6"/>
    </row>
    <row r="17" spans="2:23" x14ac:dyDescent="0.25">
      <c r="B17" s="19" t="s">
        <v>22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42">
        <f>K17/(1-N17)</f>
        <v>0</v>
      </c>
      <c r="M17" s="143">
        <f>J17-L17</f>
        <v>0</v>
      </c>
      <c r="N17" s="29">
        <v>0.03</v>
      </c>
      <c r="P17" s="30"/>
      <c r="R17" t="s">
        <v>112</v>
      </c>
      <c r="S17" s="59">
        <f>SUM(S13:S16)</f>
        <v>1190958.5967741935</v>
      </c>
      <c r="T17" s="59">
        <f>SUM(T13:T16)</f>
        <v>1190.9585967741934</v>
      </c>
      <c r="U17" s="172"/>
      <c r="V17" s="6"/>
      <c r="W17" s="6"/>
    </row>
    <row r="18" spans="2:23" x14ac:dyDescent="0.25">
      <c r="B18" s="19" t="s">
        <v>23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751390</v>
      </c>
      <c r="L18" s="142">
        <f>K18/(1-N18)</f>
        <v>757449.59677419357</v>
      </c>
      <c r="M18" s="143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42">
        <f>K19/(1-N19)</f>
        <v>0</v>
      </c>
      <c r="M19" s="143"/>
      <c r="N19" s="1">
        <v>0</v>
      </c>
      <c r="P19" s="30"/>
      <c r="R19" s="19" t="s">
        <v>113</v>
      </c>
      <c r="S19" s="21">
        <f>IF(K28&lt;0,0,K28)</f>
        <v>558391.84</v>
      </c>
      <c r="T19" s="171">
        <f t="shared" ref="T19:T25" si="4">S19/1000</f>
        <v>558.39184</v>
      </c>
      <c r="U19"/>
      <c r="V19" s="6"/>
    </row>
    <row r="20" spans="2:23" x14ac:dyDescent="0.25">
      <c r="B20" s="19" t="s">
        <v>14</v>
      </c>
      <c r="C20" s="132">
        <f t="shared" ref="C20:J20" si="5">SUM(C15:C19)</f>
        <v>0</v>
      </c>
      <c r="D20" s="132">
        <f t="shared" si="5"/>
        <v>0</v>
      </c>
      <c r="E20" s="132">
        <f t="shared" si="5"/>
        <v>0</v>
      </c>
      <c r="F20" s="132">
        <f t="shared" si="5"/>
        <v>0</v>
      </c>
      <c r="G20" s="132">
        <f t="shared" ref="G20" si="6">SUM(G15:G19)</f>
        <v>0</v>
      </c>
      <c r="H20" s="132">
        <f t="shared" si="5"/>
        <v>0</v>
      </c>
      <c r="I20" s="132">
        <f t="shared" si="5"/>
        <v>0</v>
      </c>
      <c r="J20" s="132">
        <f t="shared" si="5"/>
        <v>0</v>
      </c>
      <c r="K20" s="132">
        <f>SUM(K15:K19)</f>
        <v>751390</v>
      </c>
      <c r="L20" s="144">
        <f>SUM(L15:L19)</f>
        <v>757449.59677419357</v>
      </c>
      <c r="M20" s="144">
        <f>SUM(M15:M19)</f>
        <v>0</v>
      </c>
      <c r="N20" s="32"/>
      <c r="O20" s="33"/>
      <c r="P20" s="30"/>
      <c r="R20" s="19" t="s">
        <v>35</v>
      </c>
      <c r="S20" s="174">
        <f>L32</f>
        <v>17926</v>
      </c>
      <c r="T20" s="171">
        <f t="shared" si="4"/>
        <v>17.925999999999998</v>
      </c>
      <c r="U20"/>
      <c r="V20" s="6"/>
    </row>
    <row r="21" spans="2:23" x14ac:dyDescent="0.25">
      <c r="B21" s="24"/>
      <c r="C21" s="132"/>
      <c r="D21" s="132"/>
      <c r="E21" s="132"/>
      <c r="F21" s="132"/>
      <c r="G21" s="132"/>
      <c r="H21" s="132"/>
      <c r="I21" s="132"/>
      <c r="J21" s="132"/>
      <c r="K21" s="132"/>
      <c r="L21" s="131"/>
      <c r="M21" s="138"/>
      <c r="N21" s="30"/>
      <c r="R21" s="19" t="s">
        <v>36</v>
      </c>
      <c r="S21" s="174">
        <f>L33</f>
        <v>158554</v>
      </c>
      <c r="T21" s="171">
        <f t="shared" si="4"/>
        <v>158.554</v>
      </c>
      <c r="U21" s="172"/>
    </row>
    <row r="22" spans="2:23" x14ac:dyDescent="0.25">
      <c r="B22" s="24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8"/>
      <c r="R22" s="19" t="s">
        <v>37</v>
      </c>
      <c r="S22" s="174">
        <f>L34</f>
        <v>31615</v>
      </c>
      <c r="T22" s="171">
        <f t="shared" si="4"/>
        <v>31.614999999999998</v>
      </c>
      <c r="U22" s="172"/>
    </row>
    <row r="23" spans="2:23" ht="15.75" thickBot="1" x14ac:dyDescent="0.3">
      <c r="B23" s="35" t="s">
        <v>25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R23" s="19" t="s">
        <v>38</v>
      </c>
      <c r="S23" s="174">
        <f>L35</f>
        <v>212368</v>
      </c>
      <c r="T23" s="171">
        <f t="shared" si="4"/>
        <v>212.36799999999999</v>
      </c>
      <c r="U23" s="172"/>
    </row>
    <row r="24" spans="2:23" x14ac:dyDescent="0.25"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R24" s="19" t="s">
        <v>39</v>
      </c>
      <c r="S24" s="174">
        <f>L36</f>
        <v>34384</v>
      </c>
      <c r="T24" s="171">
        <f t="shared" si="4"/>
        <v>34.384</v>
      </c>
      <c r="U24" s="172"/>
    </row>
    <row r="25" spans="2:23" ht="15.75" thickBot="1" x14ac:dyDescent="0.3"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R25" s="19" t="s">
        <v>44</v>
      </c>
      <c r="S25" s="174">
        <f>L41</f>
        <v>140685</v>
      </c>
      <c r="T25" s="171">
        <f t="shared" si="4"/>
        <v>140.685</v>
      </c>
      <c r="U25" s="172"/>
    </row>
    <row r="26" spans="2:23" ht="15.75" thickBot="1" x14ac:dyDescent="0.3">
      <c r="B26" s="8"/>
      <c r="C26" s="147"/>
      <c r="D26" s="147"/>
      <c r="E26" s="147"/>
      <c r="F26" s="147"/>
      <c r="G26" s="147"/>
      <c r="H26" s="147"/>
      <c r="I26" s="131"/>
      <c r="J26" s="148" t="s">
        <v>26</v>
      </c>
      <c r="K26" s="149" t="s">
        <v>27</v>
      </c>
      <c r="L26" s="131"/>
      <c r="M26" s="131"/>
      <c r="N26" s="38" t="s">
        <v>28</v>
      </c>
      <c r="R26" s="19" t="s">
        <v>114</v>
      </c>
      <c r="S26" s="60">
        <f>SUM(S20:S25)</f>
        <v>595532</v>
      </c>
      <c r="T26" s="60">
        <f>SUM(T20:T25)</f>
        <v>595.53199999999993</v>
      </c>
      <c r="U26" s="172"/>
    </row>
    <row r="27" spans="2:23" x14ac:dyDescent="0.25">
      <c r="B27" s="39" t="s">
        <v>29</v>
      </c>
      <c r="C27" s="132"/>
      <c r="D27" s="132"/>
      <c r="E27" s="132"/>
      <c r="F27" s="132"/>
      <c r="G27" s="132"/>
      <c r="H27" s="132"/>
      <c r="I27" s="131"/>
      <c r="J27" s="150">
        <f>K10-J40</f>
        <v>5191</v>
      </c>
      <c r="K27" s="134">
        <f>K40*8%</f>
        <v>14296.16</v>
      </c>
      <c r="L27" s="131"/>
      <c r="M27" s="131"/>
      <c r="N27" s="40">
        <f>100-(J40/K10*100)</f>
        <v>5.4803631756756772</v>
      </c>
      <c r="R27" s="175" t="s">
        <v>115</v>
      </c>
      <c r="S27" s="176"/>
      <c r="T27" s="177">
        <f t="shared" ref="T27:T34" si="7">S27/1000</f>
        <v>0</v>
      </c>
      <c r="U27" s="172"/>
    </row>
    <row r="28" spans="2:23" ht="15.75" thickBot="1" x14ac:dyDescent="0.3">
      <c r="B28" s="35" t="s">
        <v>30</v>
      </c>
      <c r="C28" s="145"/>
      <c r="D28" s="145"/>
      <c r="E28" s="145"/>
      <c r="F28" s="145"/>
      <c r="G28" s="145"/>
      <c r="H28" s="145"/>
      <c r="I28" s="145"/>
      <c r="J28" s="151">
        <f>J40+J27-K10</f>
        <v>0</v>
      </c>
      <c r="K28" s="95">
        <f>K20-K27-K40</f>
        <v>558391.84</v>
      </c>
      <c r="L28" s="131"/>
      <c r="M28" s="131"/>
      <c r="N28" s="1" t="str">
        <f>IF(N27&gt;10,"OBS! HÖGA FÖRLUSTER","OK")</f>
        <v>OK</v>
      </c>
      <c r="R28" s="51" t="s">
        <v>116</v>
      </c>
      <c r="S28" s="52">
        <f>K27</f>
        <v>14296.16</v>
      </c>
      <c r="T28" s="178">
        <f t="shared" si="7"/>
        <v>14.29616</v>
      </c>
      <c r="U28" s="172"/>
    </row>
    <row r="29" spans="2:23" ht="15.75" thickBot="1" x14ac:dyDescent="0.3"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R29" s="51" t="s">
        <v>117</v>
      </c>
      <c r="S29" s="52">
        <f>J27</f>
        <v>5191</v>
      </c>
      <c r="T29" s="178">
        <f t="shared" si="7"/>
        <v>5.1909999999999998</v>
      </c>
      <c r="U29" s="50"/>
    </row>
    <row r="30" spans="2:23" ht="15.75" thickBot="1" x14ac:dyDescent="0.3">
      <c r="B30" s="8"/>
      <c r="C30" s="152" t="s">
        <v>0</v>
      </c>
      <c r="D30" s="152"/>
      <c r="E30" s="152"/>
      <c r="F30" s="152" t="s">
        <v>1</v>
      </c>
      <c r="G30" s="152"/>
      <c r="H30" s="152"/>
      <c r="I30" s="147"/>
      <c r="J30" s="147"/>
      <c r="K30" s="147"/>
      <c r="L30" s="153"/>
      <c r="M30" s="131"/>
      <c r="R30" s="51" t="s">
        <v>118</v>
      </c>
      <c r="S30" s="52">
        <f>L20-K20</f>
        <v>6059.5967741935747</v>
      </c>
      <c r="T30" s="178">
        <f t="shared" si="7"/>
        <v>6.059596774193575</v>
      </c>
      <c r="U30" s="55"/>
    </row>
    <row r="31" spans="2:23" ht="45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154" t="s">
        <v>32</v>
      </c>
      <c r="K31" s="154" t="s">
        <v>33</v>
      </c>
      <c r="L31" s="155" t="s">
        <v>34</v>
      </c>
      <c r="M31" s="131"/>
      <c r="R31" s="51" t="s">
        <v>119</v>
      </c>
      <c r="S31" s="52">
        <f>M4</f>
        <v>0</v>
      </c>
      <c r="T31" s="178">
        <f t="shared" si="7"/>
        <v>0</v>
      </c>
      <c r="U31" s="55"/>
    </row>
    <row r="32" spans="2:23" x14ac:dyDescent="0.25">
      <c r="B32" s="19" t="s">
        <v>35</v>
      </c>
      <c r="C32" s="132">
        <v>4882</v>
      </c>
      <c r="D32" s="132">
        <v>0</v>
      </c>
      <c r="E32" s="132">
        <v>0</v>
      </c>
      <c r="F32" s="132">
        <v>499</v>
      </c>
      <c r="G32" s="132"/>
      <c r="H32" s="132">
        <v>0</v>
      </c>
      <c r="I32" s="132">
        <v>0</v>
      </c>
      <c r="J32" s="132">
        <v>0</v>
      </c>
      <c r="K32" s="132">
        <v>12545</v>
      </c>
      <c r="L32" s="134">
        <f>SUM(C32:K32)</f>
        <v>17926</v>
      </c>
      <c r="M32" s="131"/>
      <c r="R32" s="51" t="s">
        <v>120</v>
      </c>
      <c r="S32" s="52">
        <f>M5</f>
        <v>11488</v>
      </c>
      <c r="T32" s="178">
        <f t="shared" si="7"/>
        <v>11.488</v>
      </c>
      <c r="U32"/>
    </row>
    <row r="33" spans="2:40" x14ac:dyDescent="0.25">
      <c r="B33" s="19" t="s">
        <v>36</v>
      </c>
      <c r="C33" s="205">
        <v>12000</v>
      </c>
      <c r="D33" s="132">
        <v>0</v>
      </c>
      <c r="E33" s="132">
        <v>0</v>
      </c>
      <c r="F33" s="132">
        <v>518</v>
      </c>
      <c r="G33" s="132"/>
      <c r="H33" s="205">
        <v>44918</v>
      </c>
      <c r="I33" s="132">
        <v>0</v>
      </c>
      <c r="J33" s="205">
        <v>55816</v>
      </c>
      <c r="K33" s="132">
        <v>45302</v>
      </c>
      <c r="L33" s="223">
        <f t="shared" ref="L33:L40" si="8">SUM(C33:K33)</f>
        <v>158554</v>
      </c>
      <c r="M33" s="131"/>
      <c r="R33" s="51" t="s">
        <v>121</v>
      </c>
      <c r="S33" s="52">
        <f>M15</f>
        <v>0</v>
      </c>
      <c r="T33" s="178">
        <f t="shared" si="7"/>
        <v>0</v>
      </c>
      <c r="U33" s="55"/>
    </row>
    <row r="34" spans="2:40" ht="15.75" thickBot="1" x14ac:dyDescent="0.3">
      <c r="B34" s="19" t="s">
        <v>37</v>
      </c>
      <c r="C34" s="132">
        <v>78</v>
      </c>
      <c r="D34" s="132">
        <v>0</v>
      </c>
      <c r="E34" s="132">
        <v>0</v>
      </c>
      <c r="F34" s="132">
        <v>0</v>
      </c>
      <c r="G34" s="132"/>
      <c r="H34" s="132">
        <v>0</v>
      </c>
      <c r="I34" s="132">
        <v>0</v>
      </c>
      <c r="J34" s="205">
        <v>12024</v>
      </c>
      <c r="K34" s="132">
        <v>19513</v>
      </c>
      <c r="L34" s="223">
        <f t="shared" si="8"/>
        <v>31615</v>
      </c>
      <c r="M34" s="131"/>
      <c r="R34" s="56" t="s">
        <v>122</v>
      </c>
      <c r="S34" s="179">
        <f>M16</f>
        <v>0</v>
      </c>
      <c r="T34" s="180">
        <f t="shared" si="7"/>
        <v>0</v>
      </c>
      <c r="U34" s="55"/>
    </row>
    <row r="35" spans="2:40" x14ac:dyDescent="0.25">
      <c r="B35" s="19" t="s">
        <v>38</v>
      </c>
      <c r="C35" s="132">
        <v>194191</v>
      </c>
      <c r="D35" s="132">
        <v>0</v>
      </c>
      <c r="E35" s="132">
        <v>0</v>
      </c>
      <c r="F35" s="132">
        <v>17918</v>
      </c>
      <c r="G35" s="132"/>
      <c r="H35" s="132">
        <v>0</v>
      </c>
      <c r="I35" s="132">
        <v>0</v>
      </c>
      <c r="J35" s="132">
        <v>0</v>
      </c>
      <c r="K35" s="132">
        <v>259</v>
      </c>
      <c r="L35" s="134">
        <f t="shared" si="8"/>
        <v>212368</v>
      </c>
      <c r="M35" s="131"/>
      <c r="R35" s="173" t="s">
        <v>123</v>
      </c>
      <c r="S35" s="181">
        <f>SUM(S28:S34)</f>
        <v>37034.756774193578</v>
      </c>
      <c r="T35" s="182">
        <f>SUM(T28:T34)</f>
        <v>37.034756774193575</v>
      </c>
      <c r="U35" s="55"/>
    </row>
    <row r="36" spans="2:40" x14ac:dyDescent="0.25">
      <c r="B36" s="19" t="s">
        <v>39</v>
      </c>
      <c r="C36" s="132">
        <v>3050</v>
      </c>
      <c r="D36" s="132">
        <v>0</v>
      </c>
      <c r="E36" s="132">
        <v>0</v>
      </c>
      <c r="F36" s="132">
        <v>0</v>
      </c>
      <c r="G36" s="132"/>
      <c r="H36" s="132">
        <v>0</v>
      </c>
      <c r="I36" s="132">
        <v>0</v>
      </c>
      <c r="J36" s="205">
        <v>4894</v>
      </c>
      <c r="K36" s="132">
        <v>26440</v>
      </c>
      <c r="L36" s="223">
        <f t="shared" si="8"/>
        <v>34384</v>
      </c>
      <c r="M36" s="131"/>
      <c r="R36" s="173" t="s">
        <v>124</v>
      </c>
      <c r="S36"/>
      <c r="T36" s="60">
        <f>T26+T35+T19</f>
        <v>1190.9585967741937</v>
      </c>
    </row>
    <row r="37" spans="2:40" x14ac:dyDescent="0.25">
      <c r="B37" s="19" t="s">
        <v>40</v>
      </c>
      <c r="C37" s="205">
        <v>4093</v>
      </c>
      <c r="D37" s="132">
        <v>0</v>
      </c>
      <c r="E37" s="132">
        <v>0</v>
      </c>
      <c r="F37" s="132">
        <v>0</v>
      </c>
      <c r="G37" s="132"/>
      <c r="H37" s="205">
        <v>45035</v>
      </c>
      <c r="I37" s="132">
        <v>0</v>
      </c>
      <c r="J37" s="205">
        <v>4462</v>
      </c>
      <c r="K37" s="132">
        <v>54168</v>
      </c>
      <c r="L37" s="223">
        <f t="shared" si="8"/>
        <v>107758</v>
      </c>
      <c r="M37" s="131"/>
      <c r="R37" s="1" t="s">
        <v>125</v>
      </c>
      <c r="S37"/>
      <c r="T37" s="183">
        <f>T17-T36</f>
        <v>0</v>
      </c>
      <c r="U37"/>
    </row>
    <row r="38" spans="2:40" x14ac:dyDescent="0.25">
      <c r="B38" s="19" t="s">
        <v>41</v>
      </c>
      <c r="C38" s="132">
        <v>119</v>
      </c>
      <c r="D38" s="132">
        <v>0</v>
      </c>
      <c r="E38" s="132">
        <v>0</v>
      </c>
      <c r="F38" s="132">
        <v>0</v>
      </c>
      <c r="G38" s="132"/>
      <c r="H38" s="132">
        <v>0</v>
      </c>
      <c r="I38" s="132">
        <v>0</v>
      </c>
      <c r="J38" s="205">
        <v>12333</v>
      </c>
      <c r="K38" s="132">
        <v>5913</v>
      </c>
      <c r="L38" s="223">
        <f t="shared" si="8"/>
        <v>18365</v>
      </c>
      <c r="M38" s="157"/>
      <c r="O38" s="6"/>
      <c r="P38" s="6"/>
      <c r="Q38" s="6"/>
      <c r="R38" s="173" t="s">
        <v>124</v>
      </c>
      <c r="S38"/>
      <c r="T38" s="60">
        <f>T28+T37+T21</f>
        <v>172.85016000000002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132">
        <v>0</v>
      </c>
      <c r="D39" s="132">
        <v>0</v>
      </c>
      <c r="E39" s="132">
        <v>0</v>
      </c>
      <c r="F39" s="132">
        <v>0</v>
      </c>
      <c r="G39" s="132"/>
      <c r="H39" s="132">
        <v>0</v>
      </c>
      <c r="I39" s="132">
        <v>0</v>
      </c>
      <c r="J39" s="132">
        <v>0</v>
      </c>
      <c r="K39" s="132">
        <v>14562</v>
      </c>
      <c r="L39" s="134">
        <f t="shared" si="8"/>
        <v>14562</v>
      </c>
      <c r="M39" s="131"/>
      <c r="S39" s="172"/>
      <c r="T39" s="184"/>
      <c r="U39" s="172"/>
    </row>
    <row r="40" spans="2:40" x14ac:dyDescent="0.25">
      <c r="B40" s="19" t="s">
        <v>43</v>
      </c>
      <c r="C40" s="150">
        <f>SUM(C32:C39)</f>
        <v>218413</v>
      </c>
      <c r="D40" s="150">
        <f t="shared" ref="D40:K40" si="9">SUM(D32:D39)</f>
        <v>0</v>
      </c>
      <c r="E40" s="150">
        <f t="shared" si="9"/>
        <v>0</v>
      </c>
      <c r="F40" s="150">
        <f t="shared" si="9"/>
        <v>18935</v>
      </c>
      <c r="G40" s="150">
        <f t="shared" ref="G40" si="10">SUM(G32:G39)</f>
        <v>0</v>
      </c>
      <c r="H40" s="150">
        <f t="shared" si="9"/>
        <v>89953</v>
      </c>
      <c r="I40" s="150">
        <f t="shared" si="9"/>
        <v>0</v>
      </c>
      <c r="J40" s="206">
        <f t="shared" si="9"/>
        <v>89529</v>
      </c>
      <c r="K40" s="150">
        <f t="shared" si="9"/>
        <v>178702</v>
      </c>
      <c r="L40" s="223">
        <f t="shared" si="8"/>
        <v>595532</v>
      </c>
      <c r="M40" s="131"/>
    </row>
    <row r="41" spans="2:40" x14ac:dyDescent="0.25">
      <c r="B41" s="19" t="s">
        <v>44</v>
      </c>
      <c r="C41" s="150">
        <f>SUM(C37:C39)</f>
        <v>4212</v>
      </c>
      <c r="D41" s="150">
        <f t="shared" ref="D41:L41" si="11">SUM(D37:D39)</f>
        <v>0</v>
      </c>
      <c r="E41" s="150">
        <f t="shared" si="11"/>
        <v>0</v>
      </c>
      <c r="F41" s="150">
        <f t="shared" si="11"/>
        <v>0</v>
      </c>
      <c r="G41" s="150">
        <f t="shared" ref="G41" si="12">SUM(G37:G39)</f>
        <v>0</v>
      </c>
      <c r="H41" s="150">
        <f t="shared" si="11"/>
        <v>45035</v>
      </c>
      <c r="I41" s="150">
        <f t="shared" si="11"/>
        <v>0</v>
      </c>
      <c r="J41" s="150">
        <f t="shared" si="11"/>
        <v>16795</v>
      </c>
      <c r="K41" s="150">
        <f t="shared" si="11"/>
        <v>74643</v>
      </c>
      <c r="L41" s="150">
        <f t="shared" si="11"/>
        <v>140685</v>
      </c>
      <c r="M41" s="131"/>
    </row>
    <row r="42" spans="2:40" x14ac:dyDescent="0.25">
      <c r="B42" s="24"/>
      <c r="C42" s="20"/>
      <c r="D42" s="20"/>
      <c r="E42" s="20"/>
      <c r="F42" s="20"/>
      <c r="G42" s="20"/>
      <c r="H42" s="20"/>
      <c r="I42" s="20"/>
      <c r="J42" s="20"/>
      <c r="K42" s="20"/>
      <c r="L42" s="25"/>
      <c r="M42" s="34"/>
    </row>
    <row r="43" spans="2:40" ht="15.75" thickBot="1" x14ac:dyDescent="0.3">
      <c r="B43" s="44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4"/>
    </row>
    <row r="44" spans="2:40" x14ac:dyDescent="0.2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3"/>
  <sheetViews>
    <sheetView tabSelected="1" zoomScale="70" zoomScaleNormal="70" workbookViewId="0">
      <selection activeCell="L20" sqref="L20:M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0.7109375" style="1" customWidth="1"/>
    <col min="4" max="5" width="9.28515625" style="1" bestFit="1" customWidth="1"/>
    <col min="6" max="7" width="10.7109375" style="1" customWidth="1"/>
    <col min="8" max="8" width="13.5703125" style="1" bestFit="1" customWidth="1"/>
    <col min="9" max="9" width="9.28515625" style="1" bestFit="1" customWidth="1"/>
    <col min="10" max="10" width="16.57031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6" style="1" bestFit="1" customWidth="1"/>
    <col min="19" max="19" width="13.140625" style="1" bestFit="1" customWidth="1"/>
    <col min="20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9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204">
        <v>0</v>
      </c>
      <c r="D4" s="204">
        <v>0</v>
      </c>
      <c r="E4" s="204">
        <v>0</v>
      </c>
      <c r="F4" s="204">
        <v>0</v>
      </c>
      <c r="G4" s="131">
        <v>0</v>
      </c>
      <c r="H4" s="131">
        <v>0</v>
      </c>
      <c r="I4" s="131">
        <v>0</v>
      </c>
      <c r="J4" s="131">
        <v>0</v>
      </c>
      <c r="K4" s="132">
        <v>0</v>
      </c>
      <c r="L4" s="167"/>
      <c r="M4" s="134">
        <f>J4-K4</f>
        <v>0</v>
      </c>
      <c r="N4" s="1"/>
      <c r="O4" s="6"/>
      <c r="P4" s="6"/>
      <c r="Q4" s="6"/>
      <c r="R4" s="51" t="s">
        <v>105</v>
      </c>
      <c r="S4" s="21">
        <f>L20</f>
        <v>14930.443548387097</v>
      </c>
      <c r="T4" s="171">
        <f>S4/1000</f>
        <v>14.930443548387096</v>
      </c>
      <c r="U4" s="172"/>
      <c r="W4" s="1"/>
    </row>
    <row r="5" spans="2:23" s="7" customFormat="1" x14ac:dyDescent="0.25">
      <c r="B5" s="19" t="s">
        <v>9</v>
      </c>
      <c r="C5" s="204">
        <v>0</v>
      </c>
      <c r="D5" s="204">
        <v>0</v>
      </c>
      <c r="E5" s="204">
        <v>0</v>
      </c>
      <c r="F5" s="204">
        <v>0</v>
      </c>
      <c r="G5" s="131">
        <v>0</v>
      </c>
      <c r="H5" s="216">
        <v>6703.7639999999992</v>
      </c>
      <c r="I5" s="131">
        <v>0</v>
      </c>
      <c r="J5" s="216">
        <v>13272.763999999999</v>
      </c>
      <c r="K5" s="205">
        <v>6569</v>
      </c>
      <c r="L5" s="167"/>
      <c r="M5" s="134">
        <f>J5-K5</f>
        <v>6703.7639999999992</v>
      </c>
      <c r="N5" s="1"/>
      <c r="O5" s="6"/>
      <c r="P5" s="6"/>
      <c r="Q5" s="6"/>
      <c r="R5" s="7" t="s">
        <v>106</v>
      </c>
      <c r="S5" s="21">
        <f>IF(K28&gt;0,0,K28)*-1</f>
        <v>118721.28</v>
      </c>
      <c r="T5" s="171">
        <f>S5/1000</f>
        <v>118.72127999999999</v>
      </c>
      <c r="W5" s="1"/>
    </row>
    <row r="6" spans="2:23" s="7" customFormat="1" x14ac:dyDescent="0.25">
      <c r="B6" s="19" t="s">
        <v>10</v>
      </c>
      <c r="C6" s="204">
        <v>0</v>
      </c>
      <c r="D6" s="204">
        <v>0</v>
      </c>
      <c r="E6" s="204">
        <v>0</v>
      </c>
      <c r="F6" s="204">
        <v>0</v>
      </c>
      <c r="G6" s="131">
        <v>0</v>
      </c>
      <c r="H6" s="131">
        <v>0</v>
      </c>
      <c r="I6" s="131">
        <v>0</v>
      </c>
      <c r="J6" s="131">
        <v>0</v>
      </c>
      <c r="K6" s="132">
        <v>0</v>
      </c>
      <c r="L6" s="133"/>
      <c r="M6" s="134"/>
      <c r="N6" s="1"/>
      <c r="O6" s="6"/>
      <c r="P6" s="6"/>
      <c r="Q6" s="6"/>
      <c r="R6" s="51" t="s">
        <v>104</v>
      </c>
      <c r="S6" s="171">
        <f>H10+H20+H40</f>
        <v>85598.263999999996</v>
      </c>
      <c r="T6" s="171">
        <f>S6/1000</f>
        <v>85.598264</v>
      </c>
      <c r="U6" s="172"/>
      <c r="W6" s="1"/>
    </row>
    <row r="7" spans="2:23" s="7" customFormat="1" x14ac:dyDescent="0.25">
      <c r="B7" s="19" t="s">
        <v>11</v>
      </c>
      <c r="C7" s="204">
        <v>0</v>
      </c>
      <c r="D7" s="204">
        <v>0</v>
      </c>
      <c r="E7" s="204">
        <v>0</v>
      </c>
      <c r="F7" s="204">
        <v>0</v>
      </c>
      <c r="G7" s="131">
        <v>0</v>
      </c>
      <c r="H7" s="131">
        <v>0</v>
      </c>
      <c r="I7" s="131">
        <v>0</v>
      </c>
      <c r="J7" s="131">
        <v>0</v>
      </c>
      <c r="K7" s="132">
        <v>0</v>
      </c>
      <c r="L7" s="133"/>
      <c r="M7" s="134"/>
      <c r="N7" s="1"/>
      <c r="O7" s="6"/>
      <c r="P7" s="6"/>
      <c r="Q7" s="6"/>
      <c r="R7" s="51" t="s">
        <v>56</v>
      </c>
      <c r="S7" s="171">
        <f>D10+D20+D40</f>
        <v>0</v>
      </c>
      <c r="T7" s="171">
        <f>S7/1000</f>
        <v>0</v>
      </c>
      <c r="U7" s="172"/>
      <c r="V7" s="6"/>
      <c r="W7" s="1"/>
    </row>
    <row r="8" spans="2:23" s="7" customFormat="1" x14ac:dyDescent="0.25">
      <c r="B8" s="19" t="s">
        <v>12</v>
      </c>
      <c r="C8" s="204">
        <v>0</v>
      </c>
      <c r="D8" s="204">
        <v>0</v>
      </c>
      <c r="E8" s="204">
        <v>0</v>
      </c>
      <c r="F8" s="204">
        <v>0</v>
      </c>
      <c r="G8" s="131">
        <v>0</v>
      </c>
      <c r="H8" s="131">
        <v>0</v>
      </c>
      <c r="I8" s="131">
        <v>0</v>
      </c>
      <c r="J8" s="218">
        <v>0</v>
      </c>
      <c r="K8" s="205">
        <v>18300</v>
      </c>
      <c r="L8" s="133"/>
      <c r="M8" s="134"/>
      <c r="N8" s="1"/>
      <c r="O8" s="6"/>
      <c r="P8" s="6"/>
      <c r="Q8" s="6"/>
      <c r="R8" s="51" t="s">
        <v>58</v>
      </c>
      <c r="S8" s="171">
        <f>G10+G20+G40</f>
        <v>0</v>
      </c>
      <c r="T8" s="171">
        <f t="shared" ref="T8:T12" si="0">S8/1000</f>
        <v>0</v>
      </c>
      <c r="U8" s="172"/>
      <c r="V8" s="6"/>
      <c r="W8" s="1"/>
    </row>
    <row r="9" spans="2:23" s="7" customFormat="1" x14ac:dyDescent="0.25">
      <c r="B9" s="19" t="s">
        <v>13</v>
      </c>
      <c r="C9" s="204">
        <v>0</v>
      </c>
      <c r="D9" s="204">
        <v>0</v>
      </c>
      <c r="E9" s="204">
        <v>0</v>
      </c>
      <c r="F9" s="204">
        <v>0</v>
      </c>
      <c r="G9" s="131">
        <v>0</v>
      </c>
      <c r="H9" s="131">
        <v>0</v>
      </c>
      <c r="I9" s="131">
        <v>0</v>
      </c>
      <c r="J9" s="131">
        <v>0</v>
      </c>
      <c r="K9" s="132">
        <v>0</v>
      </c>
      <c r="L9" s="133"/>
      <c r="M9" s="134"/>
      <c r="N9" s="1"/>
      <c r="O9" s="6"/>
      <c r="P9" s="6"/>
      <c r="Q9" s="6"/>
      <c r="R9" s="51" t="s">
        <v>59</v>
      </c>
      <c r="S9" s="171">
        <f>E10+E20+E40</f>
        <v>5</v>
      </c>
      <c r="T9" s="171">
        <f t="shared" si="0"/>
        <v>5.0000000000000001E-3</v>
      </c>
      <c r="U9" s="172"/>
      <c r="V9" s="6"/>
      <c r="W9" s="1"/>
    </row>
    <row r="10" spans="2:23" s="7" customFormat="1" x14ac:dyDescent="0.25">
      <c r="B10" s="19" t="s">
        <v>14</v>
      </c>
      <c r="C10" s="204">
        <v>0</v>
      </c>
      <c r="D10" s="204">
        <v>0</v>
      </c>
      <c r="E10" s="204">
        <v>0</v>
      </c>
      <c r="F10" s="204">
        <v>0</v>
      </c>
      <c r="G10" s="132">
        <f t="shared" ref="G10" si="1">SUM(G4:G9)</f>
        <v>0</v>
      </c>
      <c r="H10" s="205">
        <v>6703.7639999999992</v>
      </c>
      <c r="I10" s="132">
        <v>0</v>
      </c>
      <c r="J10" s="205">
        <f>SUM(J4:J9)</f>
        <v>13272.763999999999</v>
      </c>
      <c r="K10" s="205">
        <f>SUM(K4:K9)</f>
        <v>24869</v>
      </c>
      <c r="L10" s="133"/>
      <c r="M10" s="134">
        <f>SUM(M4:M9)</f>
        <v>6703.7639999999992</v>
      </c>
      <c r="N10" s="1"/>
      <c r="O10" s="6"/>
      <c r="P10" s="6"/>
      <c r="Q10" s="6"/>
      <c r="R10" s="51" t="s">
        <v>25</v>
      </c>
      <c r="S10" s="171">
        <f>I10+I20+I40</f>
        <v>0</v>
      </c>
      <c r="T10" s="171">
        <f t="shared" si="0"/>
        <v>0</v>
      </c>
      <c r="U10" s="172"/>
      <c r="V10" s="6"/>
      <c r="W10" s="1"/>
    </row>
    <row r="11" spans="2:23" s="7" customFormat="1" x14ac:dyDescent="0.25">
      <c r="B11" s="22"/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137"/>
      <c r="N11" s="1"/>
      <c r="O11" s="6"/>
      <c r="P11" s="6"/>
      <c r="Q11" s="6"/>
      <c r="R11" s="51" t="s">
        <v>60</v>
      </c>
      <c r="S11" s="171">
        <f>F10+F20+F40</f>
        <v>17181.5</v>
      </c>
      <c r="T11" s="171">
        <f t="shared" si="0"/>
        <v>17.1815</v>
      </c>
      <c r="U11" s="172"/>
      <c r="V11" s="6"/>
      <c r="W11" s="1"/>
    </row>
    <row r="12" spans="2:23" s="7" customFormat="1" x14ac:dyDescent="0.25">
      <c r="B12" s="23" t="s">
        <v>15</v>
      </c>
      <c r="C12" s="135"/>
      <c r="D12" s="135"/>
      <c r="E12" s="135"/>
      <c r="F12" s="135"/>
      <c r="G12" s="135"/>
      <c r="H12" s="135"/>
      <c r="I12" s="135"/>
      <c r="J12" s="133"/>
      <c r="K12" s="133"/>
      <c r="L12" s="136"/>
      <c r="M12" s="137"/>
      <c r="N12" s="1"/>
      <c r="O12" s="6"/>
      <c r="P12" s="6"/>
      <c r="Q12" s="6"/>
      <c r="R12" s="51" t="s">
        <v>61</v>
      </c>
      <c r="S12" s="171">
        <f>C10+C20+C40</f>
        <v>176710</v>
      </c>
      <c r="T12" s="171">
        <f t="shared" si="0"/>
        <v>176.71</v>
      </c>
      <c r="U12" s="172"/>
      <c r="V12" s="6"/>
      <c r="W12" s="1"/>
    </row>
    <row r="13" spans="2:23" x14ac:dyDescent="0.25">
      <c r="B13" s="2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8"/>
      <c r="N13" s="6"/>
      <c r="R13" s="173" t="s">
        <v>108</v>
      </c>
      <c r="S13" s="171">
        <f>SUM(S4:S12)</f>
        <v>413146.48754838709</v>
      </c>
      <c r="T13" s="171">
        <f>SUM(T4:T12)</f>
        <v>413.14648754838709</v>
      </c>
      <c r="U13" s="172"/>
    </row>
    <row r="14" spans="2:23" ht="18.75" x14ac:dyDescent="0.3">
      <c r="B14" s="26" t="s">
        <v>16</v>
      </c>
      <c r="C14" s="139"/>
      <c r="D14" s="139"/>
      <c r="E14" s="139"/>
      <c r="F14" s="139"/>
      <c r="G14" s="139"/>
      <c r="H14" s="139"/>
      <c r="I14" s="139"/>
      <c r="J14" s="139"/>
      <c r="K14" s="159" t="s">
        <v>17</v>
      </c>
      <c r="L14" s="140" t="s">
        <v>18</v>
      </c>
      <c r="M14" s="141"/>
      <c r="N14" s="27" t="s">
        <v>19</v>
      </c>
      <c r="O14" s="28"/>
      <c r="R14" t="s">
        <v>109</v>
      </c>
      <c r="S14" s="59">
        <f>K8</f>
        <v>18300</v>
      </c>
      <c r="T14" s="59">
        <f>S14/1000</f>
        <v>18.3</v>
      </c>
      <c r="U14" s="172"/>
      <c r="V14"/>
    </row>
    <row r="15" spans="2:23" x14ac:dyDescent="0.25">
      <c r="B15" s="19" t="s">
        <v>20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42">
        <f>K15/(1-N15)</f>
        <v>0</v>
      </c>
      <c r="M15" s="143">
        <f>J15-L15</f>
        <v>0</v>
      </c>
      <c r="N15" s="29">
        <v>0.03</v>
      </c>
      <c r="P15" s="30"/>
      <c r="R15" t="s">
        <v>110</v>
      </c>
      <c r="S15" s="59">
        <f>K9</f>
        <v>0</v>
      </c>
      <c r="T15" s="59">
        <f t="shared" ref="T15:T16" si="2">S15/1000</f>
        <v>0</v>
      </c>
      <c r="U15" s="172"/>
      <c r="V15"/>
    </row>
    <row r="16" spans="2:23" x14ac:dyDescent="0.25">
      <c r="B16" s="19" t="s">
        <v>21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42">
        <f>K16/(1-N16)</f>
        <v>0</v>
      </c>
      <c r="M16" s="143">
        <f>J16-L16</f>
        <v>0</v>
      </c>
      <c r="N16" s="29">
        <v>0.03</v>
      </c>
      <c r="P16" s="30"/>
      <c r="R16" t="s">
        <v>111</v>
      </c>
      <c r="S16" s="59">
        <f>K6+K7</f>
        <v>0</v>
      </c>
      <c r="T16" s="59">
        <f t="shared" si="2"/>
        <v>0</v>
      </c>
      <c r="U16" s="172"/>
      <c r="V16" s="6"/>
    </row>
    <row r="17" spans="2:23" x14ac:dyDescent="0.25">
      <c r="B17" s="19" t="s">
        <v>22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42">
        <f>K17/(1-N17)</f>
        <v>0</v>
      </c>
      <c r="M17" s="143">
        <f>J17-L17</f>
        <v>0</v>
      </c>
      <c r="N17" s="29">
        <v>0.03</v>
      </c>
      <c r="P17" s="30"/>
      <c r="R17" t="s">
        <v>112</v>
      </c>
      <c r="S17" s="59">
        <f>SUM(S13:S16)</f>
        <v>431446.48754838709</v>
      </c>
      <c r="T17" s="59">
        <f>SUM(T13:T16)</f>
        <v>431.4464875483871</v>
      </c>
      <c r="U17" s="172"/>
      <c r="V17" s="6"/>
      <c r="W17" s="6"/>
    </row>
    <row r="18" spans="2:23" x14ac:dyDescent="0.25">
      <c r="B18" s="19" t="s">
        <v>23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14811</v>
      </c>
      <c r="L18" s="142">
        <f>K18/(1-N18)</f>
        <v>14930.443548387097</v>
      </c>
      <c r="M18" s="143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42">
        <f>K19/(1-N19)</f>
        <v>0</v>
      </c>
      <c r="M19" s="143"/>
      <c r="N19" s="1">
        <v>0</v>
      </c>
      <c r="P19" s="30"/>
      <c r="R19" s="19" t="s">
        <v>113</v>
      </c>
      <c r="S19" s="21">
        <f>IF(K28&lt;0,0,K28)</f>
        <v>0</v>
      </c>
      <c r="T19" s="171">
        <f t="shared" ref="T19:T25" si="3">S19/1000</f>
        <v>0</v>
      </c>
      <c r="U19"/>
      <c r="V19" s="6"/>
    </row>
    <row r="20" spans="2:23" x14ac:dyDescent="0.25">
      <c r="B20" s="19" t="s">
        <v>14</v>
      </c>
      <c r="C20" s="132">
        <f t="shared" ref="C20:J20" si="4">SUM(C15:C19)</f>
        <v>0</v>
      </c>
      <c r="D20" s="132">
        <f t="shared" si="4"/>
        <v>0</v>
      </c>
      <c r="E20" s="132">
        <f t="shared" si="4"/>
        <v>0</v>
      </c>
      <c r="F20" s="132">
        <f t="shared" si="4"/>
        <v>0</v>
      </c>
      <c r="G20" s="132">
        <f t="shared" ref="G20" si="5">SUM(G15:G19)</f>
        <v>0</v>
      </c>
      <c r="H20" s="132">
        <f t="shared" si="4"/>
        <v>0</v>
      </c>
      <c r="I20" s="132">
        <f t="shared" si="4"/>
        <v>0</v>
      </c>
      <c r="J20" s="132">
        <f t="shared" si="4"/>
        <v>0</v>
      </c>
      <c r="K20" s="132">
        <f>SUM(K15:K19)</f>
        <v>14811</v>
      </c>
      <c r="L20" s="144">
        <f>SUM(L15:L19)</f>
        <v>14930.443548387097</v>
      </c>
      <c r="M20" s="144">
        <f>SUM(M15:M19)</f>
        <v>0</v>
      </c>
      <c r="N20" s="32"/>
      <c r="O20" s="33"/>
      <c r="P20" s="30"/>
      <c r="R20" s="19" t="s">
        <v>35</v>
      </c>
      <c r="S20" s="174">
        <f>L32</f>
        <v>19910</v>
      </c>
      <c r="T20" s="171">
        <f t="shared" si="3"/>
        <v>19.91</v>
      </c>
      <c r="U20"/>
      <c r="V20" s="6"/>
    </row>
    <row r="21" spans="2:23" x14ac:dyDescent="0.25">
      <c r="B21" s="24"/>
      <c r="C21" s="132"/>
      <c r="D21" s="132"/>
      <c r="E21" s="132"/>
      <c r="F21" s="132"/>
      <c r="G21" s="132"/>
      <c r="H21" s="132"/>
      <c r="I21" s="132"/>
      <c r="J21" s="132"/>
      <c r="K21" s="132"/>
      <c r="L21" s="131"/>
      <c r="M21" s="138"/>
      <c r="N21" s="30"/>
      <c r="R21" s="19" t="s">
        <v>36</v>
      </c>
      <c r="S21" s="174">
        <f>L33</f>
        <v>73445</v>
      </c>
      <c r="T21" s="171">
        <f t="shared" si="3"/>
        <v>73.444999999999993</v>
      </c>
      <c r="U21" s="172"/>
    </row>
    <row r="22" spans="2:23" x14ac:dyDescent="0.25">
      <c r="B22" s="24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8"/>
      <c r="R22" s="19" t="s">
        <v>37</v>
      </c>
      <c r="S22" s="174">
        <f>L34</f>
        <v>20390.537883250669</v>
      </c>
      <c r="T22" s="171">
        <f t="shared" si="3"/>
        <v>20.390537883250669</v>
      </c>
      <c r="U22" s="172"/>
    </row>
    <row r="23" spans="2:23" ht="15.75" thickBot="1" x14ac:dyDescent="0.3">
      <c r="B23" s="35" t="s">
        <v>25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R23" s="19" t="s">
        <v>38</v>
      </c>
      <c r="S23" s="174">
        <f>L35</f>
        <v>183685</v>
      </c>
      <c r="T23" s="171">
        <f t="shared" si="3"/>
        <v>183.685</v>
      </c>
      <c r="U23" s="172"/>
    </row>
    <row r="24" spans="2:23" x14ac:dyDescent="0.25"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R24" s="19" t="s">
        <v>39</v>
      </c>
      <c r="S24" s="174">
        <f>L36</f>
        <v>34670.84811674933</v>
      </c>
      <c r="T24" s="171">
        <f t="shared" si="3"/>
        <v>34.670848116749333</v>
      </c>
      <c r="U24" s="172"/>
    </row>
    <row r="25" spans="2:23" ht="15.75" thickBot="1" x14ac:dyDescent="0.3"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R25" s="19" t="s">
        <v>44</v>
      </c>
      <c r="S25" s="174">
        <f>L41</f>
        <v>96549.989999999991</v>
      </c>
      <c r="T25" s="171">
        <f t="shared" si="3"/>
        <v>96.549989999999994</v>
      </c>
      <c r="U25" s="172"/>
    </row>
    <row r="26" spans="2:23" ht="15.75" thickBot="1" x14ac:dyDescent="0.3">
      <c r="B26" s="8"/>
      <c r="C26" s="147"/>
      <c r="D26" s="147"/>
      <c r="E26" s="147"/>
      <c r="F26" s="147"/>
      <c r="G26" s="147"/>
      <c r="H26" s="147"/>
      <c r="I26" s="131"/>
      <c r="J26" s="148" t="s">
        <v>26</v>
      </c>
      <c r="K26" s="149" t="s">
        <v>27</v>
      </c>
      <c r="L26" s="131"/>
      <c r="M26" s="131"/>
      <c r="N26" s="38" t="s">
        <v>28</v>
      </c>
      <c r="R26" s="19" t="s">
        <v>114</v>
      </c>
      <c r="S26" s="60">
        <f>SUM(S20:S25)</f>
        <v>428651.37599999999</v>
      </c>
      <c r="T26" s="60">
        <f>SUM(T20:T25)</f>
        <v>428.65137599999997</v>
      </c>
      <c r="U26" s="172"/>
    </row>
    <row r="27" spans="2:23" x14ac:dyDescent="0.25">
      <c r="B27" s="39" t="s">
        <v>29</v>
      </c>
      <c r="C27" s="132"/>
      <c r="D27" s="132"/>
      <c r="E27" s="132"/>
      <c r="F27" s="132"/>
      <c r="G27" s="132"/>
      <c r="H27" s="132"/>
      <c r="I27" s="131"/>
      <c r="J27" s="150">
        <f>K10-J40</f>
        <v>-7350.3759999999966</v>
      </c>
      <c r="K27" s="134">
        <f>K40*8%</f>
        <v>9891.2800000000007</v>
      </c>
      <c r="L27" s="131"/>
      <c r="M27" s="131"/>
      <c r="N27" s="40">
        <f>100-(J40/K10*100)</f>
        <v>-29.556379428203769</v>
      </c>
      <c r="R27" s="175" t="s">
        <v>115</v>
      </c>
      <c r="S27" s="176"/>
      <c r="T27" s="177">
        <f t="shared" ref="T27:T34" si="6">S27/1000</f>
        <v>0</v>
      </c>
      <c r="U27" s="172"/>
    </row>
    <row r="28" spans="2:23" ht="15.75" thickBot="1" x14ac:dyDescent="0.3">
      <c r="B28" s="35" t="s">
        <v>30</v>
      </c>
      <c r="C28" s="145"/>
      <c r="D28" s="145"/>
      <c r="E28" s="145"/>
      <c r="F28" s="145"/>
      <c r="G28" s="145"/>
      <c r="H28" s="145"/>
      <c r="I28" s="145"/>
      <c r="J28" s="151">
        <f>J40+J27-K10</f>
        <v>0</v>
      </c>
      <c r="K28" s="95">
        <f>K20-K27-K40</f>
        <v>-118721.28</v>
      </c>
      <c r="L28" s="131"/>
      <c r="M28" s="131"/>
      <c r="N28" s="1" t="str">
        <f>IF(N27&gt;10,"OBS! HÖGA FÖRLUSTER","OK")</f>
        <v>OK</v>
      </c>
      <c r="R28" s="51" t="s">
        <v>116</v>
      </c>
      <c r="S28" s="52">
        <f>K27</f>
        <v>9891.2800000000007</v>
      </c>
      <c r="T28" s="178">
        <f t="shared" si="6"/>
        <v>9.8912800000000001</v>
      </c>
      <c r="U28" s="172"/>
    </row>
    <row r="29" spans="2:23" ht="15.75" thickBot="1" x14ac:dyDescent="0.3"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R29" s="51" t="s">
        <v>117</v>
      </c>
      <c r="S29" s="52">
        <f>J27</f>
        <v>-7350.3759999999966</v>
      </c>
      <c r="T29" s="178">
        <f t="shared" si="6"/>
        <v>-7.3503759999999962</v>
      </c>
      <c r="U29" s="50"/>
    </row>
    <row r="30" spans="2:23" ht="15.75" thickBot="1" x14ac:dyDescent="0.3">
      <c r="B30" s="8"/>
      <c r="C30" s="152" t="s">
        <v>0</v>
      </c>
      <c r="D30" s="152"/>
      <c r="E30" s="152"/>
      <c r="F30" s="152" t="s">
        <v>1</v>
      </c>
      <c r="G30" s="152"/>
      <c r="H30" s="152"/>
      <c r="I30" s="147"/>
      <c r="J30" s="147"/>
      <c r="K30" s="147"/>
      <c r="L30" s="153"/>
      <c r="M30" s="131"/>
      <c r="R30" s="51" t="s">
        <v>118</v>
      </c>
      <c r="S30" s="52">
        <f>L20-K20</f>
        <v>119.4435483870966</v>
      </c>
      <c r="T30" s="178">
        <f t="shared" si="6"/>
        <v>0.1194435483870966</v>
      </c>
      <c r="U30" s="55"/>
    </row>
    <row r="31" spans="2:23" ht="45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154" t="s">
        <v>32</v>
      </c>
      <c r="K31" s="154" t="s">
        <v>33</v>
      </c>
      <c r="L31" s="155" t="s">
        <v>34</v>
      </c>
      <c r="M31" s="131"/>
      <c r="R31" s="51" t="s">
        <v>119</v>
      </c>
      <c r="S31" s="52">
        <f>M4</f>
        <v>0</v>
      </c>
      <c r="T31" s="178">
        <f t="shared" si="6"/>
        <v>0</v>
      </c>
      <c r="U31" s="55"/>
    </row>
    <row r="32" spans="2:23" ht="17.25" x14ac:dyDescent="0.4">
      <c r="B32" s="19" t="s">
        <v>35</v>
      </c>
      <c r="C32" s="156">
        <v>5526</v>
      </c>
      <c r="D32" s="132">
        <v>0</v>
      </c>
      <c r="E32" s="132">
        <v>0</v>
      </c>
      <c r="F32" s="156">
        <v>502</v>
      </c>
      <c r="G32" s="156"/>
      <c r="H32" s="132">
        <v>0</v>
      </c>
      <c r="I32" s="132">
        <v>0</v>
      </c>
      <c r="J32" s="207">
        <v>0</v>
      </c>
      <c r="K32" s="132">
        <v>13882</v>
      </c>
      <c r="L32" s="134">
        <f>SUM(C32:K32)</f>
        <v>19910</v>
      </c>
      <c r="M32" s="131"/>
      <c r="R32" s="51" t="s">
        <v>120</v>
      </c>
      <c r="S32" s="52">
        <f>M5</f>
        <v>6703.7639999999992</v>
      </c>
      <c r="T32" s="178">
        <f t="shared" si="6"/>
        <v>6.7037639999999996</v>
      </c>
      <c r="U32"/>
    </row>
    <row r="33" spans="2:40" ht="17.25" x14ac:dyDescent="0.4">
      <c r="B33" s="19" t="s">
        <v>36</v>
      </c>
      <c r="C33" s="156">
        <v>3454</v>
      </c>
      <c r="D33" s="132">
        <v>0</v>
      </c>
      <c r="E33" s="156">
        <v>5</v>
      </c>
      <c r="F33" s="156">
        <v>277.5</v>
      </c>
      <c r="G33" s="156"/>
      <c r="H33" s="156">
        <v>41258.5</v>
      </c>
      <c r="I33" s="132">
        <v>0</v>
      </c>
      <c r="J33" s="208">
        <v>200</v>
      </c>
      <c r="K33" s="132">
        <v>28250</v>
      </c>
      <c r="L33" s="134">
        <f t="shared" ref="L33:L40" si="7">SUM(C33:K33)</f>
        <v>73445</v>
      </c>
      <c r="M33" s="131"/>
      <c r="R33" s="51" t="s">
        <v>121</v>
      </c>
      <c r="S33" s="52">
        <f>M15</f>
        <v>0</v>
      </c>
      <c r="T33" s="178">
        <f t="shared" si="6"/>
        <v>0</v>
      </c>
      <c r="U33" s="55"/>
    </row>
    <row r="34" spans="2:40" ht="18" thickBot="1" x14ac:dyDescent="0.45">
      <c r="B34" s="19" t="s">
        <v>37</v>
      </c>
      <c r="C34" s="132">
        <v>0</v>
      </c>
      <c r="D34" s="132">
        <v>0</v>
      </c>
      <c r="E34" s="132">
        <v>0</v>
      </c>
      <c r="F34" s="132">
        <v>0</v>
      </c>
      <c r="G34" s="132"/>
      <c r="H34" s="132">
        <v>0</v>
      </c>
      <c r="I34" s="132">
        <v>0</v>
      </c>
      <c r="J34" s="208">
        <v>12687.537883250667</v>
      </c>
      <c r="K34" s="132">
        <v>7703</v>
      </c>
      <c r="L34" s="134">
        <f t="shared" si="7"/>
        <v>20390.537883250669</v>
      </c>
      <c r="M34" s="131"/>
      <c r="R34" s="56" t="s">
        <v>122</v>
      </c>
      <c r="S34" s="179">
        <f>M16</f>
        <v>0</v>
      </c>
      <c r="T34" s="180">
        <f t="shared" si="6"/>
        <v>0</v>
      </c>
      <c r="U34" s="55"/>
    </row>
    <row r="35" spans="2:40" ht="17.25" x14ac:dyDescent="0.4">
      <c r="B35" s="19" t="s">
        <v>38</v>
      </c>
      <c r="C35" s="132">
        <v>167186</v>
      </c>
      <c r="D35" s="132">
        <v>0</v>
      </c>
      <c r="E35" s="132">
        <v>0</v>
      </c>
      <c r="F35" s="132">
        <v>16402</v>
      </c>
      <c r="G35" s="132"/>
      <c r="H35" s="132">
        <v>0</v>
      </c>
      <c r="I35" s="132">
        <v>0</v>
      </c>
      <c r="J35" s="208"/>
      <c r="K35" s="132">
        <v>97</v>
      </c>
      <c r="L35" s="134">
        <f t="shared" si="7"/>
        <v>183685</v>
      </c>
      <c r="M35" s="131"/>
      <c r="R35" s="173" t="s">
        <v>123</v>
      </c>
      <c r="S35" s="181">
        <f>SUM(S28:S34)</f>
        <v>9364.1115483870999</v>
      </c>
      <c r="T35" s="182">
        <f>SUM(T28:T34)</f>
        <v>9.3641115483871005</v>
      </c>
      <c r="U35" s="55"/>
    </row>
    <row r="36" spans="2:40" ht="17.25" x14ac:dyDescent="0.4">
      <c r="B36" s="19" t="s">
        <v>39</v>
      </c>
      <c r="C36" s="132">
        <v>336</v>
      </c>
      <c r="D36" s="132">
        <v>0</v>
      </c>
      <c r="E36" s="132">
        <v>0</v>
      </c>
      <c r="F36" s="132">
        <v>0</v>
      </c>
      <c r="G36" s="132"/>
      <c r="H36" s="132">
        <v>0</v>
      </c>
      <c r="I36" s="132">
        <v>0</v>
      </c>
      <c r="J36" s="208">
        <v>4869.8481167493319</v>
      </c>
      <c r="K36" s="132">
        <v>29465</v>
      </c>
      <c r="L36" s="134">
        <f t="shared" si="7"/>
        <v>34670.84811674933</v>
      </c>
      <c r="M36" s="131"/>
      <c r="R36" s="173" t="s">
        <v>124</v>
      </c>
      <c r="S36"/>
      <c r="T36" s="60">
        <f>T26+T35+T19</f>
        <v>438.01548754838706</v>
      </c>
    </row>
    <row r="37" spans="2:40" ht="17.25" x14ac:dyDescent="0.4">
      <c r="B37" s="19" t="s">
        <v>40</v>
      </c>
      <c r="C37" s="132">
        <v>208</v>
      </c>
      <c r="D37" s="132">
        <v>0</v>
      </c>
      <c r="E37" s="132">
        <v>0</v>
      </c>
      <c r="F37" s="132">
        <v>0</v>
      </c>
      <c r="G37" s="132"/>
      <c r="H37" s="132">
        <v>37636</v>
      </c>
      <c r="I37" s="132">
        <v>0</v>
      </c>
      <c r="J37" s="208">
        <v>526.48500000000001</v>
      </c>
      <c r="K37" s="132">
        <v>33394</v>
      </c>
      <c r="L37" s="134">
        <f t="shared" si="7"/>
        <v>71764.485000000001</v>
      </c>
      <c r="M37" s="131"/>
      <c r="R37" s="1" t="s">
        <v>125</v>
      </c>
      <c r="S37"/>
      <c r="T37" s="183">
        <f>T17-T36</f>
        <v>-6.56899999999996</v>
      </c>
      <c r="U37"/>
    </row>
    <row r="38" spans="2:40" ht="17.25" x14ac:dyDescent="0.4">
      <c r="B38" s="19" t="s">
        <v>41</v>
      </c>
      <c r="C38" s="132">
        <v>0</v>
      </c>
      <c r="D38" s="132">
        <v>0</v>
      </c>
      <c r="E38" s="132">
        <v>0</v>
      </c>
      <c r="F38" s="132">
        <v>0</v>
      </c>
      <c r="G38" s="132"/>
      <c r="H38" s="132">
        <v>0</v>
      </c>
      <c r="I38" s="132">
        <v>0</v>
      </c>
      <c r="J38" s="208">
        <v>13935.504999999999</v>
      </c>
      <c r="K38" s="132">
        <v>4075</v>
      </c>
      <c r="L38" s="134">
        <f t="shared" si="7"/>
        <v>18010.504999999997</v>
      </c>
      <c r="M38" s="157"/>
      <c r="O38" s="6"/>
      <c r="P38" s="6"/>
      <c r="Q38" s="6"/>
      <c r="R38" s="173"/>
      <c r="S38"/>
      <c r="T38" s="60"/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ht="17.25" x14ac:dyDescent="0.4">
      <c r="B39" s="19" t="s">
        <v>42</v>
      </c>
      <c r="C39" s="132">
        <v>0</v>
      </c>
      <c r="D39" s="132">
        <v>0</v>
      </c>
      <c r="E39" s="132">
        <v>0</v>
      </c>
      <c r="F39" s="132">
        <v>0</v>
      </c>
      <c r="G39" s="132"/>
      <c r="H39" s="132">
        <v>0</v>
      </c>
      <c r="I39" s="132">
        <v>0</v>
      </c>
      <c r="J39" s="208">
        <v>0</v>
      </c>
      <c r="K39" s="132">
        <v>6775</v>
      </c>
      <c r="L39" s="134">
        <f t="shared" si="7"/>
        <v>6775</v>
      </c>
      <c r="M39" s="131"/>
      <c r="S39" s="172"/>
      <c r="T39" s="184"/>
      <c r="U39" s="172"/>
    </row>
    <row r="40" spans="2:40" ht="17.25" x14ac:dyDescent="0.4">
      <c r="B40" s="19" t="s">
        <v>43</v>
      </c>
      <c r="C40" s="158">
        <f>SUM(C32:C39)</f>
        <v>176710</v>
      </c>
      <c r="D40" s="150">
        <f t="shared" ref="D40:K40" si="8">SUM(D32:D39)</f>
        <v>0</v>
      </c>
      <c r="E40" s="158">
        <f t="shared" si="8"/>
        <v>5</v>
      </c>
      <c r="F40" s="150">
        <f t="shared" si="8"/>
        <v>17181.5</v>
      </c>
      <c r="G40" s="150">
        <f t="shared" ref="G40" si="9">SUM(G32:G39)</f>
        <v>0</v>
      </c>
      <c r="H40" s="158">
        <f t="shared" si="8"/>
        <v>78894.5</v>
      </c>
      <c r="I40" s="150">
        <f t="shared" si="8"/>
        <v>0</v>
      </c>
      <c r="J40" s="206">
        <f t="shared" si="8"/>
        <v>32219.375999999997</v>
      </c>
      <c r="K40" s="150">
        <f t="shared" si="8"/>
        <v>123641</v>
      </c>
      <c r="L40" s="134">
        <f t="shared" si="7"/>
        <v>428651.37599999999</v>
      </c>
      <c r="M40" s="131"/>
    </row>
    <row r="41" spans="2:40" x14ac:dyDescent="0.25">
      <c r="B41" s="19" t="s">
        <v>44</v>
      </c>
      <c r="C41" s="150">
        <f>SUM(C37:C39)</f>
        <v>208</v>
      </c>
      <c r="D41" s="150">
        <f t="shared" ref="D41:L41" si="10">SUM(D37:D39)</f>
        <v>0</v>
      </c>
      <c r="E41" s="150">
        <f t="shared" si="10"/>
        <v>0</v>
      </c>
      <c r="F41" s="150">
        <f t="shared" si="10"/>
        <v>0</v>
      </c>
      <c r="G41" s="150">
        <f t="shared" ref="G41" si="11">SUM(G37:G39)</f>
        <v>0</v>
      </c>
      <c r="H41" s="150">
        <f t="shared" si="10"/>
        <v>37636</v>
      </c>
      <c r="I41" s="150">
        <f t="shared" si="10"/>
        <v>0</v>
      </c>
      <c r="J41" s="150">
        <f t="shared" si="10"/>
        <v>14461.99</v>
      </c>
      <c r="K41" s="150">
        <f t="shared" si="10"/>
        <v>44244</v>
      </c>
      <c r="L41" s="150">
        <f t="shared" si="10"/>
        <v>96549.989999999991</v>
      </c>
      <c r="M41" s="131"/>
    </row>
    <row r="42" spans="2:40" x14ac:dyDescent="0.25">
      <c r="B42" s="24"/>
      <c r="C42" s="20"/>
      <c r="D42" s="20"/>
      <c r="E42" s="20"/>
      <c r="F42" s="20"/>
      <c r="G42" s="20"/>
      <c r="H42" s="20"/>
      <c r="I42" s="20"/>
      <c r="J42" s="20"/>
      <c r="K42" s="20"/>
      <c r="L42" s="25"/>
      <c r="M42" s="34"/>
    </row>
    <row r="43" spans="2:40" ht="15" customHeight="1" thickBot="1" x14ac:dyDescent="0.3">
      <c r="B43" s="44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workbookViewId="0">
      <selection activeCell="I27" sqref="I27"/>
    </sheetView>
  </sheetViews>
  <sheetFormatPr defaultRowHeight="15" x14ac:dyDescent="0.25"/>
  <cols>
    <col min="1" max="1" width="27" customWidth="1"/>
    <col min="2" max="2" width="12.42578125" bestFit="1" customWidth="1"/>
    <col min="3" max="3" width="10.140625" bestFit="1" customWidth="1"/>
    <col min="5" max="5" width="23.42578125" customWidth="1"/>
    <col min="6" max="6" width="15.140625" bestFit="1" customWidth="1"/>
    <col min="7" max="7" width="11.7109375" bestFit="1" customWidth="1"/>
    <col min="9" max="9" width="21.140625" bestFit="1" customWidth="1"/>
    <col min="10" max="10" width="12.7109375" bestFit="1" customWidth="1"/>
    <col min="11" max="11" width="10.140625" bestFit="1" customWidth="1"/>
    <col min="12" max="12" width="10" bestFit="1" customWidth="1"/>
    <col min="13" max="13" width="34.5703125" customWidth="1"/>
    <col min="14" max="14" width="13.7109375" bestFit="1" customWidth="1"/>
    <col min="15" max="15" width="11.7109375" bestFit="1" customWidth="1"/>
  </cols>
  <sheetData>
    <row r="1" spans="1:17" x14ac:dyDescent="0.25">
      <c r="A1" t="s">
        <v>48</v>
      </c>
      <c r="E1" t="s">
        <v>49</v>
      </c>
      <c r="I1" s="48" t="s">
        <v>50</v>
      </c>
      <c r="J1" s="49" t="s">
        <v>51</v>
      </c>
      <c r="K1" s="50" t="s">
        <v>52</v>
      </c>
      <c r="L1" s="172"/>
      <c r="M1" s="185"/>
      <c r="N1" s="185"/>
      <c r="O1" s="185"/>
      <c r="P1" s="185"/>
      <c r="Q1" s="185"/>
    </row>
    <row r="2" spans="1:17" x14ac:dyDescent="0.25">
      <c r="I2" s="51" t="s">
        <v>27</v>
      </c>
      <c r="J2" s="62">
        <f>B11</f>
        <v>5623.2198697516797</v>
      </c>
      <c r="K2" s="64">
        <f t="shared" ref="K2:K11" si="0">J2/$J$12*100</f>
        <v>28.202973558968193</v>
      </c>
      <c r="L2" s="172"/>
      <c r="M2" s="185"/>
      <c r="N2" s="185"/>
      <c r="O2" s="186"/>
      <c r="P2" s="185"/>
      <c r="Q2" s="185"/>
    </row>
    <row r="3" spans="1:17" x14ac:dyDescent="0.25">
      <c r="I3" s="51" t="s">
        <v>149</v>
      </c>
      <c r="J3" s="62">
        <f>B22</f>
        <v>3772.0113972275421</v>
      </c>
      <c r="K3" s="64">
        <f t="shared" si="0"/>
        <v>18.918331518990179</v>
      </c>
      <c r="L3" s="172"/>
      <c r="M3" s="185"/>
      <c r="N3" s="187"/>
      <c r="O3" s="178"/>
      <c r="P3" s="185"/>
      <c r="Q3" s="185"/>
    </row>
    <row r="4" spans="1:17" x14ac:dyDescent="0.25">
      <c r="A4" t="s">
        <v>54</v>
      </c>
      <c r="B4" s="59">
        <f>'Värmlands län'!L19/1000</f>
        <v>84.465999999999994</v>
      </c>
      <c r="I4" s="51" t="s">
        <v>55</v>
      </c>
      <c r="J4" s="62">
        <f>B34</f>
        <v>0</v>
      </c>
      <c r="K4" s="64">
        <f t="shared" si="0"/>
        <v>0</v>
      </c>
      <c r="L4" s="172"/>
      <c r="M4" s="185"/>
      <c r="N4" s="187"/>
      <c r="O4" s="178"/>
      <c r="P4" s="185"/>
      <c r="Q4" s="185"/>
    </row>
    <row r="5" spans="1:17" x14ac:dyDescent="0.25">
      <c r="B5" s="59"/>
      <c r="I5" s="51" t="s">
        <v>56</v>
      </c>
      <c r="J5" s="62">
        <f>B40</f>
        <v>449.49071443697972</v>
      </c>
      <c r="K5" s="64">
        <f t="shared" si="0"/>
        <v>2.2543978410767131</v>
      </c>
      <c r="L5" s="172"/>
      <c r="M5" s="185"/>
      <c r="N5" s="187"/>
      <c r="O5" s="178"/>
      <c r="P5" s="185"/>
      <c r="Q5" s="185"/>
    </row>
    <row r="6" spans="1:17" x14ac:dyDescent="0.25">
      <c r="A6" t="s">
        <v>57</v>
      </c>
      <c r="B6" s="59">
        <f>'Värmlands län'!L18/1000</f>
        <v>1930.827620967742</v>
      </c>
      <c r="I6" s="173" t="s">
        <v>107</v>
      </c>
      <c r="J6" s="60">
        <f>B30</f>
        <v>0</v>
      </c>
      <c r="K6" s="188">
        <f t="shared" si="0"/>
        <v>0</v>
      </c>
      <c r="L6" s="172"/>
      <c r="M6" s="185"/>
      <c r="N6" s="187"/>
      <c r="O6" s="178"/>
      <c r="P6" s="185"/>
      <c r="Q6" s="185"/>
    </row>
    <row r="7" spans="1:17" x14ac:dyDescent="0.25">
      <c r="I7" s="51" t="s">
        <v>58</v>
      </c>
      <c r="J7" s="62">
        <f>B47</f>
        <v>5414.8040000000001</v>
      </c>
      <c r="K7" s="64">
        <f t="shared" si="0"/>
        <v>27.157674353170723</v>
      </c>
      <c r="L7" s="172"/>
      <c r="M7" s="185"/>
      <c r="N7" s="187"/>
      <c r="O7" s="178"/>
      <c r="P7" s="185"/>
      <c r="Q7" s="185"/>
    </row>
    <row r="8" spans="1:17" x14ac:dyDescent="0.25">
      <c r="I8" s="51" t="s">
        <v>59</v>
      </c>
      <c r="J8" s="62">
        <f>B54</f>
        <v>311.55426233333333</v>
      </c>
      <c r="K8" s="64">
        <f t="shared" si="0"/>
        <v>1.5625845736597284</v>
      </c>
      <c r="L8" s="172"/>
      <c r="M8" s="185"/>
      <c r="N8" s="187"/>
      <c r="O8" s="178"/>
      <c r="P8" s="185"/>
      <c r="Q8" s="185"/>
    </row>
    <row r="9" spans="1:17" x14ac:dyDescent="0.25">
      <c r="I9" s="51" t="s">
        <v>25</v>
      </c>
      <c r="J9" s="62">
        <f>B59</f>
        <v>53.562800000000003</v>
      </c>
      <c r="K9" s="64">
        <f t="shared" si="0"/>
        <v>0.26864150204587517</v>
      </c>
      <c r="L9" s="172"/>
      <c r="M9" s="185"/>
      <c r="N9" s="187"/>
      <c r="O9" s="178"/>
      <c r="P9" s="185"/>
      <c r="Q9" s="185"/>
    </row>
    <row r="10" spans="1:17" x14ac:dyDescent="0.25">
      <c r="I10" s="51" t="s">
        <v>60</v>
      </c>
      <c r="J10" s="62">
        <f>B67</f>
        <v>559.63920520954991</v>
      </c>
      <c r="K10" s="64">
        <f t="shared" si="0"/>
        <v>2.8068420002549015</v>
      </c>
      <c r="L10" s="172"/>
      <c r="M10" s="185"/>
      <c r="N10" s="187"/>
      <c r="O10" s="178"/>
      <c r="P10" s="185"/>
      <c r="Q10" s="185"/>
    </row>
    <row r="11" spans="1:17" ht="15.75" thickBot="1" x14ac:dyDescent="0.3">
      <c r="A11" t="s">
        <v>62</v>
      </c>
      <c r="B11" s="59">
        <f>SUM(B12:B16)</f>
        <v>5623.2198697516797</v>
      </c>
      <c r="E11" t="s">
        <v>63</v>
      </c>
      <c r="F11" s="59">
        <f>SUM(F12:F20)</f>
        <v>5623.2198697516797</v>
      </c>
      <c r="G11" s="60">
        <f>B11-F11</f>
        <v>0</v>
      </c>
      <c r="I11" s="51" t="s">
        <v>61</v>
      </c>
      <c r="J11" s="62">
        <f>B76</f>
        <v>3754.1113321091266</v>
      </c>
      <c r="K11" s="64">
        <f t="shared" si="0"/>
        <v>18.828554651833677</v>
      </c>
      <c r="L11" s="172"/>
      <c r="M11" s="185"/>
      <c r="N11" s="187"/>
      <c r="O11" s="178"/>
      <c r="P11" s="185"/>
      <c r="Q11" s="185"/>
    </row>
    <row r="12" spans="1:17" x14ac:dyDescent="0.25">
      <c r="A12" t="s">
        <v>64</v>
      </c>
      <c r="B12" s="59">
        <f>'Värmlands län'!L15/1000</f>
        <v>94.032989690721649</v>
      </c>
      <c r="E12" t="s">
        <v>126</v>
      </c>
      <c r="F12" s="189">
        <f>'Värmlands län'!K27/1000</f>
        <v>413.38737047120424</v>
      </c>
      <c r="G12" s="50"/>
      <c r="I12" s="51"/>
      <c r="J12" s="52">
        <f>SUM(J2:J11)</f>
        <v>19938.393581068212</v>
      </c>
      <c r="K12" s="54">
        <f>SUM(K2:K11)</f>
        <v>100</v>
      </c>
      <c r="L12" s="184">
        <f>SUM(J3:J11)</f>
        <v>14315.173711316533</v>
      </c>
      <c r="M12" s="185"/>
      <c r="N12" s="185"/>
      <c r="O12" s="186"/>
      <c r="P12" s="185"/>
      <c r="Q12" s="185"/>
    </row>
    <row r="13" spans="1:17" ht="15.75" thickBot="1" x14ac:dyDescent="0.3">
      <c r="A13" t="s">
        <v>66</v>
      </c>
      <c r="B13" s="59">
        <f>'Värmlands län'!L16/1000</f>
        <v>807.42525773195871</v>
      </c>
      <c r="E13" t="s">
        <v>152</v>
      </c>
      <c r="F13" s="190">
        <f>'Värmlands län'!L21/1000</f>
        <v>42.490368390422312</v>
      </c>
      <c r="G13" s="191">
        <f>F12+F13</f>
        <v>455.87773886162654</v>
      </c>
      <c r="I13" s="51"/>
      <c r="J13" s="53"/>
      <c r="K13" s="55"/>
      <c r="L13" s="172"/>
      <c r="M13" s="185"/>
      <c r="N13" s="178"/>
      <c r="O13" s="178"/>
      <c r="P13" s="185"/>
      <c r="Q13" s="185"/>
    </row>
    <row r="14" spans="1:17" x14ac:dyDescent="0.25">
      <c r="A14" t="s">
        <v>23</v>
      </c>
      <c r="B14" s="59">
        <f>'Värmlands län'!L18/1000</f>
        <v>1930.827620967742</v>
      </c>
      <c r="E14" t="s">
        <v>67</v>
      </c>
      <c r="F14" s="59">
        <f>'Värmlands län'!K32/1000</f>
        <v>132.846</v>
      </c>
      <c r="I14" s="51" t="s">
        <v>65</v>
      </c>
      <c r="J14" s="61">
        <f>G13+F91+F103+J93+G112</f>
        <v>1049.2810264891596</v>
      </c>
      <c r="K14" s="55"/>
      <c r="L14" s="172"/>
      <c r="M14" s="185"/>
      <c r="N14" s="178"/>
      <c r="O14" s="178"/>
      <c r="P14" s="185"/>
      <c r="Q14" s="185"/>
    </row>
    <row r="15" spans="1:17" x14ac:dyDescent="0.25">
      <c r="A15" t="s">
        <v>24</v>
      </c>
      <c r="B15" s="59">
        <f>'Värmlands län'!L19/1000</f>
        <v>84.465999999999994</v>
      </c>
      <c r="E15" t="s">
        <v>36</v>
      </c>
      <c r="F15" s="59">
        <f>'Värmlands län'!K33/1000</f>
        <v>2863.8220000000001</v>
      </c>
      <c r="I15" s="19" t="s">
        <v>113</v>
      </c>
      <c r="J15" s="60">
        <f>F20</f>
        <v>0</v>
      </c>
      <c r="L15" s="172"/>
      <c r="M15" s="51"/>
      <c r="N15" s="178"/>
      <c r="O15" s="178"/>
      <c r="P15" s="185"/>
      <c r="Q15" s="185"/>
    </row>
    <row r="16" spans="1:17" x14ac:dyDescent="0.25">
      <c r="A16" t="s">
        <v>70</v>
      </c>
      <c r="B16" s="60">
        <f>'Värmlands län'!K28/1000*-1</f>
        <v>2706.4680013612569</v>
      </c>
      <c r="E16" t="s">
        <v>69</v>
      </c>
      <c r="F16" s="59">
        <f>'Värmlands län'!K34/1000</f>
        <v>293.45999999999998</v>
      </c>
      <c r="I16" s="19" t="s">
        <v>35</v>
      </c>
      <c r="J16" s="62">
        <f>'Värmlands län'!L32/1000</f>
        <v>230.7535</v>
      </c>
      <c r="K16" s="64">
        <f t="shared" ref="K16:K21" si="1">J16/$J$22*100</f>
        <v>1.2552505316614364</v>
      </c>
      <c r="L16" s="172"/>
      <c r="M16" s="51"/>
      <c r="N16" s="186"/>
      <c r="O16" s="186"/>
      <c r="P16" s="185"/>
      <c r="Q16" s="185"/>
    </row>
    <row r="17" spans="1:17" x14ac:dyDescent="0.25">
      <c r="E17" t="s">
        <v>38</v>
      </c>
      <c r="F17" s="59">
        <f>'Värmlands län'!K35/1000</f>
        <v>76.613</v>
      </c>
      <c r="I17" s="19" t="s">
        <v>36</v>
      </c>
      <c r="J17" s="62">
        <f>'Värmlands län'!L33/1000</f>
        <v>10983.236308333333</v>
      </c>
      <c r="K17" s="64">
        <f t="shared" si="1"/>
        <v>59.746496652915802</v>
      </c>
      <c r="L17" s="172"/>
      <c r="M17" s="185"/>
      <c r="N17" s="178"/>
      <c r="O17" s="185"/>
      <c r="P17" s="185"/>
      <c r="Q17" s="185"/>
    </row>
    <row r="18" spans="1:17" x14ac:dyDescent="0.25">
      <c r="E18" t="s">
        <v>71</v>
      </c>
      <c r="F18" s="59">
        <f>'Värmlands län'!K36/1000</f>
        <v>677.58113089005235</v>
      </c>
      <c r="I18" s="19" t="s">
        <v>37</v>
      </c>
      <c r="J18" s="62">
        <f>'Värmlands län'!L34/1000</f>
        <v>504.51089948615919</v>
      </c>
      <c r="K18" s="64">
        <f t="shared" si="1"/>
        <v>2.7444332363712394</v>
      </c>
      <c r="L18" s="172"/>
      <c r="M18" s="185"/>
      <c r="N18" s="187"/>
      <c r="O18" s="178"/>
      <c r="P18" s="185"/>
      <c r="Q18" s="185"/>
    </row>
    <row r="19" spans="1:17" x14ac:dyDescent="0.25">
      <c r="E19" t="s">
        <v>44</v>
      </c>
      <c r="F19" s="59">
        <f>'Värmlands län'!K41/1000</f>
        <v>1123.02</v>
      </c>
      <c r="G19" s="59">
        <f>SUM(F14:F19)</f>
        <v>5167.3421308900524</v>
      </c>
      <c r="I19" s="19" t="s">
        <v>38</v>
      </c>
      <c r="J19" s="62">
        <f>'Värmlands län'!L35/1000</f>
        <v>3242.1709999999998</v>
      </c>
      <c r="K19" s="64">
        <f t="shared" si="1"/>
        <v>17.636728680116619</v>
      </c>
      <c r="L19" s="172"/>
      <c r="M19" s="51"/>
      <c r="N19" s="187"/>
      <c r="O19" s="178"/>
      <c r="P19" s="185"/>
      <c r="Q19" s="185"/>
    </row>
    <row r="20" spans="1:17" x14ac:dyDescent="0.25">
      <c r="E20" t="s">
        <v>72</v>
      </c>
      <c r="F20" s="59"/>
      <c r="I20" s="19" t="s">
        <v>39</v>
      </c>
      <c r="J20" s="62">
        <f>'Värmlands län'!L36/1000</f>
        <v>981.34911740389305</v>
      </c>
      <c r="K20" s="64">
        <f t="shared" si="1"/>
        <v>5.3383329022819499</v>
      </c>
      <c r="L20" s="172"/>
      <c r="M20" s="51"/>
      <c r="N20" s="187"/>
      <c r="O20" s="178"/>
      <c r="P20" s="185"/>
      <c r="Q20" s="185"/>
    </row>
    <row r="21" spans="1:17" x14ac:dyDescent="0.25">
      <c r="I21" s="19" t="s">
        <v>44</v>
      </c>
      <c r="J21" s="62">
        <f>'Värmlands län'!L41/1000</f>
        <v>2441.0424899999998</v>
      </c>
      <c r="K21" s="64">
        <f t="shared" si="1"/>
        <v>13.278757996652949</v>
      </c>
      <c r="L21" s="172"/>
      <c r="M21" s="51"/>
      <c r="N21" s="187"/>
      <c r="O21" s="178"/>
      <c r="P21" s="185"/>
      <c r="Q21" s="185"/>
    </row>
    <row r="22" spans="1:17" ht="15.75" thickBot="1" x14ac:dyDescent="0.3">
      <c r="A22" t="s">
        <v>148</v>
      </c>
      <c r="B22" s="59">
        <f>('Värmlands län'!H10+'Värmlands län'!H20+'Värmlands län'!H40)/1000</f>
        <v>3772.0113972275421</v>
      </c>
      <c r="E22" t="s">
        <v>127</v>
      </c>
      <c r="F22" s="59">
        <f>SUM(F23:F28)</f>
        <v>3772.0113972275421</v>
      </c>
      <c r="G22" s="60"/>
      <c r="I22" s="56" t="s">
        <v>103</v>
      </c>
      <c r="J22" s="63">
        <f>SUM(J16:J21)</f>
        <v>18383.063315223386</v>
      </c>
      <c r="K22" s="57">
        <f>SUM(K16:K21)</f>
        <v>100</v>
      </c>
      <c r="L22" s="172"/>
      <c r="M22" s="56"/>
      <c r="N22" s="187"/>
      <c r="O22" s="178"/>
      <c r="P22" s="185"/>
      <c r="Q22" s="185"/>
    </row>
    <row r="23" spans="1:17" x14ac:dyDescent="0.25">
      <c r="E23" t="s">
        <v>128</v>
      </c>
      <c r="F23" s="59">
        <f>'Värmlands län'!H4/1000</f>
        <v>371.49317073170732</v>
      </c>
      <c r="M23" s="47"/>
      <c r="N23" s="187"/>
      <c r="O23" s="178"/>
      <c r="P23" s="185"/>
      <c r="Q23" s="185"/>
    </row>
    <row r="24" spans="1:17" x14ac:dyDescent="0.25">
      <c r="E24" t="s">
        <v>129</v>
      </c>
      <c r="F24" s="59">
        <f>'Värmlands län'!H15/1000</f>
        <v>70.495999999999995</v>
      </c>
      <c r="G24" s="60">
        <f>SUM(F23:F24)</f>
        <v>441.9891707317073</v>
      </c>
      <c r="J24" s="60"/>
      <c r="M24" s="47"/>
      <c r="N24" s="187"/>
      <c r="O24" s="178"/>
      <c r="P24" s="185"/>
      <c r="Q24" s="185"/>
    </row>
    <row r="25" spans="1:17" x14ac:dyDescent="0.25">
      <c r="E25" t="s">
        <v>66</v>
      </c>
      <c r="F25" s="59">
        <f>'Värmlands län'!H16/1000</f>
        <v>556.96982926829264</v>
      </c>
      <c r="J25" s="60"/>
      <c r="M25" s="47"/>
      <c r="N25" s="185"/>
      <c r="O25" s="186"/>
      <c r="P25" s="185"/>
      <c r="Q25" s="185"/>
    </row>
    <row r="26" spans="1:17" x14ac:dyDescent="0.25">
      <c r="E26" t="s">
        <v>73</v>
      </c>
      <c r="F26" s="59">
        <f>'Värmlands län'!H5/1000</f>
        <v>619.40820122754224</v>
      </c>
      <c r="M26" s="185"/>
      <c r="N26" s="185"/>
      <c r="O26" s="178"/>
      <c r="P26" s="185"/>
      <c r="Q26" s="185"/>
    </row>
    <row r="27" spans="1:17" x14ac:dyDescent="0.25">
      <c r="E27" t="s">
        <v>44</v>
      </c>
      <c r="F27" s="59">
        <f>'Värmlands län'!H37/1000</f>
        <v>586.38</v>
      </c>
      <c r="M27" s="185"/>
      <c r="N27" s="187"/>
      <c r="O27" s="178"/>
      <c r="P27" s="185"/>
      <c r="Q27" s="185"/>
    </row>
    <row r="28" spans="1:17" x14ac:dyDescent="0.25">
      <c r="E28" t="s">
        <v>36</v>
      </c>
      <c r="F28" s="59">
        <f>'Värmlands län'!H33/1000</f>
        <v>1567.2641960000001</v>
      </c>
      <c r="M28" s="185"/>
      <c r="N28" s="187"/>
      <c r="O28" s="178"/>
      <c r="P28" s="185"/>
      <c r="Q28" s="185"/>
    </row>
    <row r="29" spans="1:17" x14ac:dyDescent="0.25">
      <c r="F29" s="59"/>
      <c r="M29" s="185"/>
      <c r="N29" s="187"/>
      <c r="O29" s="178"/>
      <c r="P29" s="185"/>
      <c r="Q29" s="185"/>
    </row>
    <row r="30" spans="1:17" x14ac:dyDescent="0.25">
      <c r="A30" t="s">
        <v>107</v>
      </c>
      <c r="B30" s="59"/>
      <c r="E30" t="s">
        <v>130</v>
      </c>
      <c r="F30" s="59">
        <f>SUM(F31)</f>
        <v>0</v>
      </c>
      <c r="M30" s="185"/>
      <c r="N30" s="187"/>
      <c r="O30" s="178"/>
      <c r="P30" s="185"/>
      <c r="Q30" s="185"/>
    </row>
    <row r="31" spans="1:17" x14ac:dyDescent="0.25">
      <c r="E31" t="s">
        <v>36</v>
      </c>
      <c r="F31" s="59"/>
      <c r="M31" s="185"/>
      <c r="N31" s="187"/>
      <c r="O31" s="178"/>
      <c r="P31" s="185"/>
      <c r="Q31" s="185"/>
    </row>
    <row r="32" spans="1:17" x14ac:dyDescent="0.25">
      <c r="M32" s="185"/>
      <c r="N32" s="187"/>
      <c r="O32" s="178"/>
      <c r="P32" s="185"/>
      <c r="Q32" s="185"/>
    </row>
    <row r="33" spans="1:17" x14ac:dyDescent="0.25">
      <c r="M33" s="185"/>
      <c r="N33" s="187"/>
      <c r="O33" s="178"/>
      <c r="P33" s="185"/>
      <c r="Q33" s="185"/>
    </row>
    <row r="34" spans="1:17" x14ac:dyDescent="0.25">
      <c r="A34" t="s">
        <v>74</v>
      </c>
      <c r="B34" s="59"/>
      <c r="E34" t="s">
        <v>75</v>
      </c>
      <c r="F34" s="59">
        <f>SUM(F35:F37)</f>
        <v>0</v>
      </c>
      <c r="M34" s="185"/>
      <c r="N34" s="185"/>
      <c r="O34" s="186"/>
      <c r="P34" s="185"/>
      <c r="Q34" s="185"/>
    </row>
    <row r="35" spans="1:17" x14ac:dyDescent="0.25">
      <c r="E35" t="s">
        <v>64</v>
      </c>
      <c r="F35" s="59"/>
      <c r="M35" s="185"/>
      <c r="N35" s="185"/>
      <c r="O35" s="186"/>
      <c r="P35" s="185"/>
      <c r="Q35" s="185"/>
    </row>
    <row r="36" spans="1:17" x14ac:dyDescent="0.25">
      <c r="E36" t="s">
        <v>66</v>
      </c>
      <c r="F36" s="59"/>
      <c r="M36" s="42"/>
      <c r="N36" s="185"/>
      <c r="O36" s="186"/>
      <c r="P36" s="185"/>
      <c r="Q36" s="185"/>
    </row>
    <row r="37" spans="1:17" x14ac:dyDescent="0.25">
      <c r="E37" t="s">
        <v>68</v>
      </c>
      <c r="F37" s="59"/>
      <c r="M37" s="185"/>
      <c r="N37" s="185"/>
      <c r="O37" s="186"/>
      <c r="P37" s="185"/>
      <c r="Q37" s="185"/>
    </row>
    <row r="38" spans="1:17" x14ac:dyDescent="0.25">
      <c r="O38" s="60"/>
    </row>
    <row r="40" spans="1:17" x14ac:dyDescent="0.25">
      <c r="A40" t="s">
        <v>76</v>
      </c>
      <c r="B40" s="59">
        <f>('Värmlands län'!D10+'Värmlands län'!D20+'Värmlands län'!D40)/1000</f>
        <v>449.49071443697972</v>
      </c>
      <c r="E40" t="s">
        <v>77</v>
      </c>
      <c r="F40" s="59">
        <f>SUM(F41:F44)</f>
        <v>449.49071443697977</v>
      </c>
    </row>
    <row r="41" spans="1:17" x14ac:dyDescent="0.25">
      <c r="E41" t="s">
        <v>150</v>
      </c>
      <c r="F41" s="59">
        <f>'Värmlands län'!D4/1000</f>
        <v>210.8</v>
      </c>
    </row>
    <row r="42" spans="1:17" x14ac:dyDescent="0.25">
      <c r="E42" t="s">
        <v>151</v>
      </c>
      <c r="F42" s="59">
        <f>'Värmlands län'!D15/1000</f>
        <v>42.16</v>
      </c>
      <c r="G42" s="60">
        <f>SUM(F41:F42)</f>
        <v>252.96</v>
      </c>
    </row>
    <row r="43" spans="1:17" x14ac:dyDescent="0.25">
      <c r="E43" t="s">
        <v>66</v>
      </c>
      <c r="F43" s="59">
        <f>'Värmlands län'!D16/1000</f>
        <v>0</v>
      </c>
    </row>
    <row r="44" spans="1:17" x14ac:dyDescent="0.25">
      <c r="E44" t="s">
        <v>68</v>
      </c>
      <c r="F44" s="59">
        <f>'Värmlands län'!D5/1000</f>
        <v>196.53071443697976</v>
      </c>
    </row>
    <row r="45" spans="1:17" x14ac:dyDescent="0.25">
      <c r="F45" s="59"/>
    </row>
    <row r="47" spans="1:17" x14ac:dyDescent="0.25">
      <c r="A47" t="s">
        <v>78</v>
      </c>
      <c r="B47" s="59">
        <f>('Värmlands län'!G10+'Värmlands län'!G20+'Värmlands län'!G40)/1000</f>
        <v>5414.8040000000001</v>
      </c>
      <c r="E47" t="s">
        <v>79</v>
      </c>
      <c r="F47" s="59">
        <f>SUM(F49:F52)</f>
        <v>5414.8040000000001</v>
      </c>
    </row>
    <row r="48" spans="1:17" x14ac:dyDescent="0.25">
      <c r="B48" s="59"/>
      <c r="E48" t="s">
        <v>150</v>
      </c>
      <c r="F48" s="59"/>
    </row>
    <row r="49" spans="1:6" x14ac:dyDescent="0.25">
      <c r="E49" t="s">
        <v>151</v>
      </c>
      <c r="F49" s="59"/>
    </row>
    <row r="50" spans="1:6" x14ac:dyDescent="0.25">
      <c r="E50" t="s">
        <v>66</v>
      </c>
      <c r="F50" s="59">
        <f>'Värmlands län'!G16/1000</f>
        <v>351.95312932901066</v>
      </c>
    </row>
    <row r="51" spans="1:6" x14ac:dyDescent="0.25">
      <c r="E51" t="s">
        <v>68</v>
      </c>
      <c r="F51" s="59"/>
    </row>
    <row r="52" spans="1:6" x14ac:dyDescent="0.25">
      <c r="E52" t="s">
        <v>36</v>
      </c>
      <c r="F52" s="59">
        <f>'Värmlands län'!G33/1000</f>
        <v>5062.850870670989</v>
      </c>
    </row>
    <row r="54" spans="1:6" x14ac:dyDescent="0.25">
      <c r="A54" t="s">
        <v>80</v>
      </c>
      <c r="B54" s="59">
        <f>('Värmlands län'!E10+'Värmlands län'!E20+'Värmlands län'!E40)/1000</f>
        <v>311.55426233333333</v>
      </c>
      <c r="E54" t="s">
        <v>81</v>
      </c>
      <c r="F54" s="58">
        <f>SUM(F55:F57)</f>
        <v>311.55426233333327</v>
      </c>
    </row>
    <row r="55" spans="1:6" x14ac:dyDescent="0.25">
      <c r="E55" t="s">
        <v>26</v>
      </c>
      <c r="F55" s="59"/>
    </row>
    <row r="56" spans="1:6" x14ac:dyDescent="0.25">
      <c r="E56" t="s">
        <v>36</v>
      </c>
      <c r="F56" s="59">
        <f>'Värmlands län'!E33/1000</f>
        <v>308.71406233333329</v>
      </c>
    </row>
    <row r="57" spans="1:6" x14ac:dyDescent="0.25">
      <c r="E57" t="s">
        <v>38</v>
      </c>
      <c r="F57" s="59">
        <f>'Värmlands län'!E35/1000</f>
        <v>2.8401999999999998</v>
      </c>
    </row>
    <row r="59" spans="1:6" x14ac:dyDescent="0.25">
      <c r="A59" t="s">
        <v>82</v>
      </c>
      <c r="B59" s="59">
        <f>('Värmlands län'!I10+'Värmlands län'!I20+'Värmlands län'!I40)/1000</f>
        <v>53.562800000000003</v>
      </c>
      <c r="E59" t="s">
        <v>83</v>
      </c>
      <c r="F59" s="59">
        <f>SUM(F60:F65)</f>
        <v>53.562799999999996</v>
      </c>
    </row>
    <row r="60" spans="1:6" x14ac:dyDescent="0.25">
      <c r="E60" t="s">
        <v>64</v>
      </c>
      <c r="F60" s="59"/>
    </row>
    <row r="61" spans="1:6" x14ac:dyDescent="0.25">
      <c r="E61" t="s">
        <v>66</v>
      </c>
      <c r="F61" s="59"/>
    </row>
    <row r="62" spans="1:6" x14ac:dyDescent="0.25">
      <c r="E62" t="s">
        <v>68</v>
      </c>
      <c r="F62" s="192">
        <f>'Värmlands län'!I5/1000</f>
        <v>1.448</v>
      </c>
    </row>
    <row r="63" spans="1:6" x14ac:dyDescent="0.25">
      <c r="E63" t="s">
        <v>38</v>
      </c>
      <c r="F63" s="59">
        <f>'Värmlands län'!I35/1000</f>
        <v>13.114799999999999</v>
      </c>
    </row>
    <row r="64" spans="1:6" x14ac:dyDescent="0.25">
      <c r="E64" t="s">
        <v>36</v>
      </c>
      <c r="F64" s="59">
        <f>'Värmlands län'!I33/1000</f>
        <v>39</v>
      </c>
    </row>
    <row r="67" spans="1:7" x14ac:dyDescent="0.25">
      <c r="A67" t="s">
        <v>84</v>
      </c>
      <c r="B67" s="59">
        <f>('Värmlands län'!F10+'Värmlands län'!F20+'Värmlands län'!F40)/1000</f>
        <v>559.63920520954991</v>
      </c>
      <c r="E67" t="s">
        <v>85</v>
      </c>
      <c r="F67" s="59">
        <f>SUM(F68:F73)</f>
        <v>559.63920520954991</v>
      </c>
    </row>
    <row r="68" spans="1:7" x14ac:dyDescent="0.25">
      <c r="E68" t="s">
        <v>64</v>
      </c>
      <c r="F68" s="59"/>
    </row>
    <row r="69" spans="1:7" x14ac:dyDescent="0.25">
      <c r="E69" t="s">
        <v>66</v>
      </c>
      <c r="F69" s="59">
        <f>'Värmlands län'!F16/1000</f>
        <v>9.1658706709893369</v>
      </c>
    </row>
    <row r="70" spans="1:7" x14ac:dyDescent="0.25">
      <c r="E70" t="s">
        <v>68</v>
      </c>
      <c r="F70" s="59">
        <f>'Värmlands län'!F5/1000</f>
        <v>40.93570520954988</v>
      </c>
    </row>
    <row r="71" spans="1:7" x14ac:dyDescent="0.25">
      <c r="E71" t="s">
        <v>38</v>
      </c>
      <c r="F71" s="59">
        <f>'Värmlands län'!F35/1000</f>
        <v>271.59800000000001</v>
      </c>
    </row>
    <row r="72" spans="1:7" x14ac:dyDescent="0.25">
      <c r="E72" t="s">
        <v>86</v>
      </c>
      <c r="F72" s="59">
        <f>'Värmlands län'!F32/1000</f>
        <v>9.3635000000000002</v>
      </c>
    </row>
    <row r="73" spans="1:7" x14ac:dyDescent="0.25">
      <c r="E73" t="s">
        <v>36</v>
      </c>
      <c r="F73" s="59">
        <f>'Värmlands län'!F33/1000</f>
        <v>228.57612932901068</v>
      </c>
    </row>
    <row r="76" spans="1:7" x14ac:dyDescent="0.25">
      <c r="A76" t="s">
        <v>87</v>
      </c>
      <c r="B76" s="59">
        <f>('Värmlands län'!C10+'Värmlands län'!C20+'Värmlands län'!C40)/1000</f>
        <v>3754.1113321091266</v>
      </c>
      <c r="E76" t="s">
        <v>88</v>
      </c>
      <c r="F76" s="59">
        <f>SUM(F77:F86)</f>
        <v>3754.111332109127</v>
      </c>
      <c r="G76" s="60"/>
    </row>
    <row r="77" spans="1:7" x14ac:dyDescent="0.25">
      <c r="E77" t="s">
        <v>150</v>
      </c>
      <c r="F77" s="59">
        <f>'Värmlands län'!C4/1000</f>
        <v>18.481759999999998</v>
      </c>
    </row>
    <row r="78" spans="1:7" x14ac:dyDescent="0.25">
      <c r="E78" t="s">
        <v>151</v>
      </c>
      <c r="F78" s="59">
        <f>'Värmlands län'!C15/1000</f>
        <v>3.7090000000000001</v>
      </c>
    </row>
    <row r="79" spans="1:7" x14ac:dyDescent="0.25">
      <c r="E79" t="s">
        <v>66</v>
      </c>
      <c r="F79" s="59">
        <f>'Värmlands län'!C16/1000</f>
        <v>25.064</v>
      </c>
    </row>
    <row r="80" spans="1:7" x14ac:dyDescent="0.25">
      <c r="E80" t="s">
        <v>68</v>
      </c>
      <c r="F80" s="59">
        <f>'Värmlands län'!C5/1000</f>
        <v>39.006522109126834</v>
      </c>
    </row>
    <row r="81" spans="1:12" x14ac:dyDescent="0.25">
      <c r="E81" t="s">
        <v>67</v>
      </c>
      <c r="F81" s="59">
        <f>'Värmlands län'!C32/1000</f>
        <v>88.543999999999997</v>
      </c>
    </row>
    <row r="82" spans="1:12" x14ac:dyDescent="0.25">
      <c r="E82" t="s">
        <v>36</v>
      </c>
      <c r="F82" s="59">
        <f>'Värmlands län'!C33/1000</f>
        <v>585.46905000000004</v>
      </c>
    </row>
    <row r="83" spans="1:12" x14ac:dyDescent="0.25">
      <c r="E83" t="s">
        <v>69</v>
      </c>
      <c r="F83" s="59">
        <f>'Värmlands län'!C34/1000</f>
        <v>7.5860000000000003</v>
      </c>
    </row>
    <row r="84" spans="1:12" x14ac:dyDescent="0.25">
      <c r="E84" t="s">
        <v>38</v>
      </c>
      <c r="F84" s="59">
        <f>'Värmlands län'!C35/1000</f>
        <v>2878.0050000000001</v>
      </c>
    </row>
    <row r="85" spans="1:12" x14ac:dyDescent="0.25">
      <c r="E85" t="s">
        <v>71</v>
      </c>
      <c r="F85" s="59">
        <f>'Värmlands län'!C36/1000</f>
        <v>84.877499999999998</v>
      </c>
    </row>
    <row r="86" spans="1:12" x14ac:dyDescent="0.25">
      <c r="E86" t="s">
        <v>44</v>
      </c>
      <c r="F86" s="59">
        <f>'Värmlands län'!C41/1000</f>
        <v>23.368500000000001</v>
      </c>
      <c r="G86" s="59">
        <f>SUM(F81:F86)</f>
        <v>3667.85005</v>
      </c>
    </row>
    <row r="88" spans="1:12" x14ac:dyDescent="0.25">
      <c r="I88" t="s">
        <v>26</v>
      </c>
      <c r="J88" s="59">
        <f>SUM(J89:J94)</f>
        <v>1656.2850000000001</v>
      </c>
      <c r="K88" s="59">
        <f>SUM(J89:J92)</f>
        <v>1458.1693760000001</v>
      </c>
    </row>
    <row r="89" spans="1:12" ht="15.75" thickBot="1" x14ac:dyDescent="0.3">
      <c r="A89" t="s">
        <v>131</v>
      </c>
      <c r="B89" s="59">
        <f>'Värmlands län'!K5/1000</f>
        <v>766.44473935566577</v>
      </c>
      <c r="E89" t="s">
        <v>132</v>
      </c>
      <c r="F89" s="59">
        <f>F90+F92+F93+F94</f>
        <v>897.11330027500867</v>
      </c>
      <c r="G89" s="59"/>
      <c r="I89" t="s">
        <v>36</v>
      </c>
      <c r="J89" s="59">
        <f>'Värmlands län'!J33/1000</f>
        <v>327.54000000000002</v>
      </c>
      <c r="K89" s="59"/>
    </row>
    <row r="90" spans="1:12" x14ac:dyDescent="0.25">
      <c r="A90" t="s">
        <v>61</v>
      </c>
      <c r="B90" s="59">
        <f>'Värmlands län'!C5/1000</f>
        <v>39.006522109126834</v>
      </c>
      <c r="E90" s="48" t="s">
        <v>133</v>
      </c>
      <c r="F90" s="193">
        <f>'Värmlands län'!K5/1000</f>
        <v>766.44473935566577</v>
      </c>
      <c r="G90" s="194">
        <f>F90+F92+F93+F94</f>
        <v>897.11330027500867</v>
      </c>
      <c r="I90" t="s">
        <v>69</v>
      </c>
      <c r="J90" s="59">
        <f>'Värmlands län'!J34/1000</f>
        <v>203.46489948615923</v>
      </c>
      <c r="K90" s="59"/>
    </row>
    <row r="91" spans="1:12" ht="15.75" thickBot="1" x14ac:dyDescent="0.3">
      <c r="A91" t="s">
        <v>56</v>
      </c>
      <c r="B91" s="59">
        <f>'Värmlands län'!D5/1000</f>
        <v>196.53071443697976</v>
      </c>
      <c r="E91" s="56" t="s">
        <v>134</v>
      </c>
      <c r="F91" s="63">
        <f>'Värmlands län'!M5/1000</f>
        <v>137.45340362753288</v>
      </c>
      <c r="G91" s="195"/>
      <c r="H91" s="60"/>
      <c r="I91" t="s">
        <v>71</v>
      </c>
      <c r="J91" s="59">
        <f>'Värmlands län'!J36/1000</f>
        <v>218.89048651384076</v>
      </c>
      <c r="K91" s="59"/>
    </row>
    <row r="92" spans="1:12" ht="15.75" thickBot="1" x14ac:dyDescent="0.3">
      <c r="A92" t="s">
        <v>101</v>
      </c>
      <c r="B92" s="59"/>
      <c r="E92" t="s">
        <v>135</v>
      </c>
      <c r="F92" s="59">
        <f>'Värmlands län'!K6/1000</f>
        <v>0.78</v>
      </c>
      <c r="G92" s="59"/>
      <c r="I92" t="s">
        <v>44</v>
      </c>
      <c r="J92" s="59">
        <f>'Värmlands län'!J41/1000</f>
        <v>708.27399000000003</v>
      </c>
      <c r="K92" s="59">
        <f>SUM(J89:J91)</f>
        <v>749.89538600000003</v>
      </c>
    </row>
    <row r="93" spans="1:12" x14ac:dyDescent="0.25">
      <c r="A93" t="s">
        <v>136</v>
      </c>
      <c r="B93" s="59">
        <f>'Värmlands län'!F5/1000</f>
        <v>40.93570520954988</v>
      </c>
      <c r="E93" t="s">
        <v>137</v>
      </c>
      <c r="F93" s="59">
        <f>'Värmlands län'!K7/1000</f>
        <v>0</v>
      </c>
      <c r="G93" s="59"/>
      <c r="I93" s="48" t="s">
        <v>138</v>
      </c>
      <c r="J93" s="193">
        <f>'Värmlands län'!J27/1000</f>
        <v>198.11562400000008</v>
      </c>
      <c r="K93" s="194"/>
    </row>
    <row r="94" spans="1:12" ht="15.75" thickBot="1" x14ac:dyDescent="0.3">
      <c r="A94" t="s">
        <v>47</v>
      </c>
      <c r="B94" s="59">
        <f>'Värmlands län'!H5/1000</f>
        <v>619.40820122754224</v>
      </c>
      <c r="E94" t="s">
        <v>139</v>
      </c>
      <c r="F94" s="59">
        <f>'Värmlands län'!K9*'Värmlands län'!L5/1000</f>
        <v>129.88856091934289</v>
      </c>
      <c r="G94" s="59"/>
      <c r="I94" s="56"/>
      <c r="K94" s="195">
        <f>SUM(J93:J94)</f>
        <v>198.11562400000008</v>
      </c>
      <c r="L94" s="60">
        <f>B96-B89</f>
        <v>130.88440362753295</v>
      </c>
    </row>
    <row r="95" spans="1:12" x14ac:dyDescent="0.25">
      <c r="A95" t="s">
        <v>100</v>
      </c>
      <c r="B95" s="192">
        <f>'Värmlands län'!I5/1000</f>
        <v>1.448</v>
      </c>
      <c r="G95" s="59"/>
      <c r="J95" s="59">
        <f>SUM(J89:J94)</f>
        <v>1656.2850000000001</v>
      </c>
      <c r="K95" s="59"/>
    </row>
    <row r="96" spans="1:12" ht="15.75" thickBot="1" x14ac:dyDescent="0.3">
      <c r="A96" t="s">
        <v>140</v>
      </c>
      <c r="B96" s="59">
        <f>SUM(B90:B95)</f>
        <v>897.32914298319872</v>
      </c>
      <c r="E96" t="s">
        <v>89</v>
      </c>
      <c r="F96" s="59">
        <f>'Värmlands län'!K8/1000</f>
        <v>141.64065422742161</v>
      </c>
    </row>
    <row r="97" spans="1:10" x14ac:dyDescent="0.25">
      <c r="I97" s="48"/>
      <c r="J97" s="194"/>
    </row>
    <row r="98" spans="1:10" x14ac:dyDescent="0.25">
      <c r="F98" s="59"/>
      <c r="I98" s="51"/>
      <c r="J98" s="196"/>
    </row>
    <row r="99" spans="1:10" x14ac:dyDescent="0.25">
      <c r="A99" t="s">
        <v>141</v>
      </c>
      <c r="B99" s="59">
        <f>('Värmlands län'!J4+'Värmlands län'!J15)/1000</f>
        <v>717.13993073170741</v>
      </c>
      <c r="E99" t="s">
        <v>141</v>
      </c>
      <c r="F99" s="60">
        <f>SUM(F100:F103)</f>
        <v>809.44796591999875</v>
      </c>
      <c r="G99" s="60">
        <f>F99-B107</f>
        <v>92.308035188291456</v>
      </c>
      <c r="I99" s="51"/>
      <c r="J99" s="196"/>
    </row>
    <row r="100" spans="1:10" ht="15.75" thickBot="1" x14ac:dyDescent="0.3">
      <c r="A100" t="s">
        <v>61</v>
      </c>
      <c r="B100" s="59">
        <f>('Värmlands län'!C4+'Värmlands län'!C15)/1000</f>
        <v>22.190759999999997</v>
      </c>
      <c r="E100" t="s">
        <v>27</v>
      </c>
      <c r="F100" s="59">
        <f>'Värmlands län'!L15/1000</f>
        <v>94.032989690721649</v>
      </c>
      <c r="I100" s="56"/>
      <c r="J100" s="197"/>
    </row>
    <row r="101" spans="1:10" x14ac:dyDescent="0.25">
      <c r="A101" t="s">
        <v>55</v>
      </c>
      <c r="B101" s="59"/>
      <c r="E101" t="s">
        <v>142</v>
      </c>
      <c r="F101" s="58">
        <f>'Värmlands län'!K4/1000</f>
        <v>528.04399999999998</v>
      </c>
      <c r="G101" s="60">
        <f>F101+F102</f>
        <v>617.53104549756972</v>
      </c>
    </row>
    <row r="102" spans="1:10" ht="15.75" thickBot="1" x14ac:dyDescent="0.3">
      <c r="A102" t="s">
        <v>56</v>
      </c>
      <c r="B102" s="59">
        <f>('Värmlands län'!D4+'Värmlands län'!D15)/1000</f>
        <v>252.96</v>
      </c>
      <c r="E102" t="s">
        <v>143</v>
      </c>
      <c r="F102" s="60">
        <f>'Värmlands län'!K9*'Värmlands län'!L4/1000</f>
        <v>89.487045497569795</v>
      </c>
    </row>
    <row r="103" spans="1:10" x14ac:dyDescent="0.25">
      <c r="A103" t="s">
        <v>144</v>
      </c>
      <c r="B103" s="59"/>
      <c r="E103" s="48" t="s">
        <v>134</v>
      </c>
      <c r="F103" s="198">
        <f>G106</f>
        <v>97.88393073170738</v>
      </c>
      <c r="G103" s="193">
        <f>'Värmlands län'!M4/1000</f>
        <v>72.730930731707375</v>
      </c>
      <c r="H103" s="50" t="s">
        <v>145</v>
      </c>
    </row>
    <row r="104" spans="1:10" x14ac:dyDescent="0.25">
      <c r="A104" t="s">
        <v>58</v>
      </c>
      <c r="B104" s="59"/>
      <c r="E104" s="51"/>
      <c r="F104" s="53"/>
      <c r="G104" s="62">
        <f>'Värmlands län'!M15/1000</f>
        <v>25.152999999999999</v>
      </c>
      <c r="H104" s="55" t="s">
        <v>146</v>
      </c>
    </row>
    <row r="105" spans="1:10" x14ac:dyDescent="0.25">
      <c r="A105" t="s">
        <v>53</v>
      </c>
      <c r="B105" s="59">
        <f>('Värmlands län'!H4+'Värmlands län'!H15)/1000</f>
        <v>441.9891707317073</v>
      </c>
      <c r="E105" s="51"/>
      <c r="F105" s="53"/>
      <c r="G105" s="62"/>
      <c r="H105" s="55"/>
    </row>
    <row r="106" spans="1:10" ht="15.75" thickBot="1" x14ac:dyDescent="0.3">
      <c r="A106" t="s">
        <v>100</v>
      </c>
      <c r="B106" s="59"/>
      <c r="E106" s="56"/>
      <c r="F106" s="199"/>
      <c r="G106" s="63">
        <f>SUM(G103:G104)</f>
        <v>97.88393073170738</v>
      </c>
      <c r="H106" s="57"/>
    </row>
    <row r="107" spans="1:10" x14ac:dyDescent="0.25">
      <c r="A107" t="s">
        <v>140</v>
      </c>
      <c r="B107" s="60">
        <f>SUM(B100:B106)</f>
        <v>717.1399307317073</v>
      </c>
    </row>
    <row r="109" spans="1:10" x14ac:dyDescent="0.25">
      <c r="A109" t="s">
        <v>45</v>
      </c>
      <c r="B109" s="59">
        <f>'Värmlands län'!J16/1000</f>
        <v>943.15282926829263</v>
      </c>
      <c r="E109" t="s">
        <v>45</v>
      </c>
      <c r="F109" s="60">
        <f>SUM(F110:F111)</f>
        <v>967.37558700025136</v>
      </c>
    </row>
    <row r="110" spans="1:10" x14ac:dyDescent="0.25">
      <c r="A110" t="s">
        <v>61</v>
      </c>
      <c r="B110" s="59">
        <f>'Värmlands län'!C16/1000</f>
        <v>25.064</v>
      </c>
      <c r="E110" t="s">
        <v>27</v>
      </c>
      <c r="F110" s="59">
        <f>'Värmlands län'!L16/1000</f>
        <v>807.42525773195871</v>
      </c>
      <c r="G110" s="59"/>
    </row>
    <row r="111" spans="1:10" x14ac:dyDescent="0.25">
      <c r="A111" t="s">
        <v>144</v>
      </c>
      <c r="B111" s="59">
        <f>'Värmlands län'!F16/1000</f>
        <v>9.1658706709893369</v>
      </c>
      <c r="E111" t="s">
        <v>147</v>
      </c>
      <c r="F111" s="59">
        <f>'Värmlands län'!M16/1000</f>
        <v>159.95032926829265</v>
      </c>
      <c r="G111" s="59"/>
    </row>
    <row r="112" spans="1:10" x14ac:dyDescent="0.25">
      <c r="A112" t="s">
        <v>58</v>
      </c>
      <c r="B112" s="59">
        <f>'Värmlands län'!G16/1000</f>
        <v>351.95312932901066</v>
      </c>
      <c r="G112" s="59">
        <f>SUM(F111:F111)</f>
        <v>159.95032926829265</v>
      </c>
    </row>
    <row r="113" spans="1:6" x14ac:dyDescent="0.25">
      <c r="A113" t="s">
        <v>47</v>
      </c>
      <c r="B113" s="59">
        <f>'Värmlands län'!H16/1000</f>
        <v>556.96982926829264</v>
      </c>
    </row>
    <row r="114" spans="1:6" x14ac:dyDescent="0.25">
      <c r="B114" s="60">
        <f>SUM(B110:B113)</f>
        <v>943.15282926829263</v>
      </c>
    </row>
    <row r="120" spans="1:6" x14ac:dyDescent="0.25">
      <c r="F120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7"/>
  <sheetViews>
    <sheetView zoomScale="60" zoomScaleNormal="60" workbookViewId="0">
      <selection activeCell="N34" sqref="N34"/>
    </sheetView>
  </sheetViews>
  <sheetFormatPr defaultRowHeight="15" x14ac:dyDescent="0.25"/>
  <cols>
    <col min="1" max="1" width="9.140625" style="1"/>
    <col min="2" max="2" width="44.7109375" style="1" bestFit="1" customWidth="1"/>
    <col min="3" max="7" width="9.140625" style="1"/>
    <col min="8" max="8" width="11" style="1" bestFit="1" customWidth="1"/>
    <col min="9" max="9" width="9.140625" style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9.85546875" style="1" bestFit="1" customWidth="1"/>
    <col min="19" max="19" width="12" style="1" bestFit="1" customWidth="1"/>
    <col min="20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87">
        <v>0</v>
      </c>
      <c r="D4" s="87">
        <v>0</v>
      </c>
      <c r="E4" s="87">
        <v>0</v>
      </c>
      <c r="F4" s="87">
        <v>0</v>
      </c>
      <c r="G4" s="87">
        <v>0</v>
      </c>
      <c r="H4" s="87">
        <v>0</v>
      </c>
      <c r="I4" s="87">
        <v>0</v>
      </c>
      <c r="J4" s="87">
        <v>0</v>
      </c>
      <c r="K4" s="73">
        <v>0</v>
      </c>
      <c r="L4" s="167">
        <f>K4/(K4+K5)</f>
        <v>0</v>
      </c>
      <c r="M4" s="71">
        <f>J4-K4</f>
        <v>0</v>
      </c>
      <c r="N4" s="1"/>
      <c r="O4" s="6"/>
      <c r="P4" s="6"/>
      <c r="Q4" s="6"/>
      <c r="R4" s="51" t="s">
        <v>105</v>
      </c>
      <c r="S4" s="21">
        <f>L20</f>
        <v>92107.862903225803</v>
      </c>
      <c r="T4" s="171">
        <f>S4/1000</f>
        <v>92.107862903225808</v>
      </c>
      <c r="U4" s="172"/>
      <c r="W4" s="1"/>
    </row>
    <row r="5" spans="2:23" s="7" customFormat="1" x14ac:dyDescent="0.25">
      <c r="B5" s="19" t="s">
        <v>9</v>
      </c>
      <c r="C5" s="87">
        <v>5859</v>
      </c>
      <c r="D5" s="87">
        <v>0</v>
      </c>
      <c r="E5" s="87">
        <v>0</v>
      </c>
      <c r="F5" s="87">
        <v>0</v>
      </c>
      <c r="G5" s="87">
        <v>0</v>
      </c>
      <c r="H5" s="87">
        <v>111412</v>
      </c>
      <c r="I5" s="87">
        <v>610</v>
      </c>
      <c r="J5" s="87">
        <v>117881</v>
      </c>
      <c r="K5" s="73">
        <v>102312</v>
      </c>
      <c r="L5" s="167">
        <f>K5/(K4+K5)</f>
        <v>1</v>
      </c>
      <c r="M5" s="71">
        <f>J5-K5</f>
        <v>15569</v>
      </c>
      <c r="N5" s="1"/>
      <c r="O5" s="6"/>
      <c r="P5" s="6"/>
      <c r="Q5" s="6"/>
      <c r="R5" s="7" t="s">
        <v>106</v>
      </c>
      <c r="S5" s="21">
        <f>IF(K28&gt;0,0,K28)*-1</f>
        <v>267561.59999999998</v>
      </c>
      <c r="T5" s="171">
        <f>S5/1000</f>
        <v>267.5616</v>
      </c>
      <c r="W5" s="1"/>
    </row>
    <row r="6" spans="2:23" s="7" customFormat="1" x14ac:dyDescent="0.25">
      <c r="B6" s="19" t="s">
        <v>10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73">
        <v>0</v>
      </c>
      <c r="L6" s="72"/>
      <c r="M6" s="71"/>
      <c r="N6" s="1"/>
      <c r="O6" s="6"/>
      <c r="P6" s="6"/>
      <c r="Q6" s="6"/>
      <c r="R6" s="51" t="s">
        <v>104</v>
      </c>
      <c r="S6" s="171">
        <f>H10+H20+H40</f>
        <v>235550</v>
      </c>
      <c r="T6" s="171">
        <f>S6/1000</f>
        <v>235.55</v>
      </c>
      <c r="U6" s="172"/>
      <c r="W6" s="1"/>
    </row>
    <row r="7" spans="2:23" s="7" customFormat="1" x14ac:dyDescent="0.25">
      <c r="B7" s="19" t="s">
        <v>11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73">
        <v>0</v>
      </c>
      <c r="L7" s="72"/>
      <c r="M7" s="71"/>
      <c r="N7" s="1"/>
      <c r="O7" s="6"/>
      <c r="P7" s="6"/>
      <c r="Q7" s="6"/>
      <c r="R7" s="51" t="s">
        <v>56</v>
      </c>
      <c r="S7" s="171">
        <f>D10+D20+D40</f>
        <v>0</v>
      </c>
      <c r="T7" s="171">
        <f>S7/1000</f>
        <v>0</v>
      </c>
      <c r="U7" s="172"/>
      <c r="V7" s="6"/>
      <c r="W7" s="1"/>
    </row>
    <row r="8" spans="2:23" s="7" customFormat="1" x14ac:dyDescent="0.25">
      <c r="B8" s="19" t="s">
        <v>12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73">
        <v>5019</v>
      </c>
      <c r="L8" s="72"/>
      <c r="M8" s="71"/>
      <c r="N8" s="1"/>
      <c r="O8" s="6"/>
      <c r="P8" s="6"/>
      <c r="Q8" s="6"/>
      <c r="R8" s="51" t="s">
        <v>58</v>
      </c>
      <c r="S8" s="171">
        <f>G10+G20+G40</f>
        <v>0</v>
      </c>
      <c r="T8" s="171">
        <f t="shared" ref="T8:T12" si="0">S8/1000</f>
        <v>0</v>
      </c>
      <c r="U8" s="172"/>
      <c r="V8" s="6"/>
      <c r="W8" s="1"/>
    </row>
    <row r="9" spans="2:23" s="7" customFormat="1" x14ac:dyDescent="0.25">
      <c r="B9" s="19" t="s">
        <v>13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73">
        <v>21184</v>
      </c>
      <c r="L9" s="72"/>
      <c r="M9" s="71"/>
      <c r="N9" s="1"/>
      <c r="O9" s="6"/>
      <c r="P9" s="6"/>
      <c r="Q9" s="6"/>
      <c r="R9" s="51" t="s">
        <v>59</v>
      </c>
      <c r="S9" s="171">
        <f>E10+E20+E40</f>
        <v>3128</v>
      </c>
      <c r="T9" s="171">
        <f t="shared" si="0"/>
        <v>3.1280000000000001</v>
      </c>
      <c r="U9" s="172"/>
      <c r="V9" s="6"/>
      <c r="W9" s="1"/>
    </row>
    <row r="10" spans="2:23" s="7" customFormat="1" x14ac:dyDescent="0.25">
      <c r="B10" s="19" t="s">
        <v>14</v>
      </c>
      <c r="C10" s="73">
        <f t="shared" ref="C10:K10" si="1">SUM(C4:C9)</f>
        <v>5859</v>
      </c>
      <c r="D10" s="73">
        <f t="shared" si="1"/>
        <v>0</v>
      </c>
      <c r="E10" s="73">
        <f t="shared" si="1"/>
        <v>0</v>
      </c>
      <c r="F10" s="73">
        <f t="shared" si="1"/>
        <v>0</v>
      </c>
      <c r="G10" s="73">
        <f t="shared" ref="G10" si="2">SUM(G4:G9)</f>
        <v>0</v>
      </c>
      <c r="H10" s="73">
        <f t="shared" si="1"/>
        <v>111412</v>
      </c>
      <c r="I10" s="73">
        <f t="shared" si="1"/>
        <v>610</v>
      </c>
      <c r="J10" s="73">
        <f t="shared" si="1"/>
        <v>117881</v>
      </c>
      <c r="K10" s="73">
        <f t="shared" si="1"/>
        <v>128515</v>
      </c>
      <c r="L10" s="72"/>
      <c r="M10" s="71">
        <f>SUM(M4:M9)</f>
        <v>15569</v>
      </c>
      <c r="N10" s="1"/>
      <c r="O10" s="6"/>
      <c r="P10" s="6"/>
      <c r="Q10" s="6"/>
      <c r="R10" s="51" t="s">
        <v>25</v>
      </c>
      <c r="S10" s="171">
        <f>I10+I20+I40</f>
        <v>610</v>
      </c>
      <c r="T10" s="171">
        <f t="shared" si="0"/>
        <v>0.61</v>
      </c>
      <c r="U10" s="172"/>
      <c r="V10" s="6"/>
      <c r="W10" s="1"/>
    </row>
    <row r="11" spans="2:23" s="7" customFormat="1" x14ac:dyDescent="0.25">
      <c r="B11" s="22"/>
      <c r="C11" s="74"/>
      <c r="D11" s="74"/>
      <c r="E11" s="74"/>
      <c r="F11" s="74"/>
      <c r="G11" s="74"/>
      <c r="H11" s="74"/>
      <c r="I11" s="74"/>
      <c r="J11" s="75"/>
      <c r="K11" s="75"/>
      <c r="L11" s="76"/>
      <c r="M11" s="77"/>
      <c r="N11" s="1"/>
      <c r="O11" s="6"/>
      <c r="P11" s="6"/>
      <c r="Q11" s="6"/>
      <c r="R11" s="51" t="s">
        <v>60</v>
      </c>
      <c r="S11" s="171">
        <f>F10+F20+F40</f>
        <v>23538</v>
      </c>
      <c r="T11" s="171">
        <f t="shared" si="0"/>
        <v>23.538</v>
      </c>
      <c r="U11" s="172"/>
      <c r="V11" s="6"/>
      <c r="W11" s="1"/>
    </row>
    <row r="12" spans="2:23" s="7" customFormat="1" x14ac:dyDescent="0.25">
      <c r="B12" s="23" t="s">
        <v>15</v>
      </c>
      <c r="C12" s="74"/>
      <c r="D12" s="74"/>
      <c r="E12" s="74"/>
      <c r="F12" s="74"/>
      <c r="G12" s="74"/>
      <c r="H12" s="74"/>
      <c r="I12" s="74"/>
      <c r="J12" s="72"/>
      <c r="K12" s="72"/>
      <c r="L12" s="76"/>
      <c r="M12" s="77"/>
      <c r="N12" s="1"/>
      <c r="O12" s="6"/>
      <c r="P12" s="6"/>
      <c r="Q12" s="6"/>
      <c r="R12" s="51" t="s">
        <v>61</v>
      </c>
      <c r="S12" s="171">
        <f>C10+C20+C40</f>
        <v>283552</v>
      </c>
      <c r="T12" s="171">
        <f t="shared" si="0"/>
        <v>283.55200000000002</v>
      </c>
      <c r="U12" s="172"/>
      <c r="V12" s="6"/>
      <c r="W12" s="1"/>
    </row>
    <row r="13" spans="2:23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6"/>
      <c r="R13" s="173" t="s">
        <v>108</v>
      </c>
      <c r="S13" s="171">
        <f>SUM(S4:S12)</f>
        <v>906047.46290322579</v>
      </c>
      <c r="T13" s="171">
        <f>SUM(T4:T12)</f>
        <v>906.04746290322589</v>
      </c>
      <c r="U13" s="172"/>
    </row>
    <row r="14" spans="2:23" ht="18.75" x14ac:dyDescent="0.3">
      <c r="B14" s="26" t="s">
        <v>16</v>
      </c>
      <c r="C14" s="80"/>
      <c r="D14" s="80"/>
      <c r="E14" s="80"/>
      <c r="F14" s="80"/>
      <c r="G14" s="80"/>
      <c r="H14" s="80"/>
      <c r="I14" s="80"/>
      <c r="J14" s="80"/>
      <c r="K14" s="81" t="s">
        <v>17</v>
      </c>
      <c r="L14" s="82" t="s">
        <v>18</v>
      </c>
      <c r="M14" s="83"/>
      <c r="N14" s="27" t="s">
        <v>19</v>
      </c>
      <c r="O14" s="28"/>
      <c r="R14" t="s">
        <v>109</v>
      </c>
      <c r="S14" s="59">
        <f>K8</f>
        <v>5019</v>
      </c>
      <c r="T14" s="59">
        <f>S14/1000</f>
        <v>5.0190000000000001</v>
      </c>
      <c r="U14" s="172"/>
      <c r="V14"/>
    </row>
    <row r="15" spans="2:23" x14ac:dyDescent="0.25">
      <c r="B15" s="19" t="s">
        <v>20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3">
        <v>0</v>
      </c>
      <c r="L15" s="104">
        <f>K15/(1-N15)</f>
        <v>0</v>
      </c>
      <c r="M15" s="85">
        <f>J15-L15</f>
        <v>0</v>
      </c>
      <c r="N15" s="29">
        <v>0.03</v>
      </c>
      <c r="P15" s="30"/>
      <c r="R15" t="s">
        <v>110</v>
      </c>
      <c r="S15" s="59">
        <f>K9</f>
        <v>21184</v>
      </c>
      <c r="T15" s="59">
        <f t="shared" ref="T15:T16" si="3">S15/1000</f>
        <v>21.184000000000001</v>
      </c>
      <c r="U15" s="172"/>
      <c r="V15"/>
    </row>
    <row r="16" spans="2:23" x14ac:dyDescent="0.25">
      <c r="B16" s="19" t="s">
        <v>21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3">
        <v>0</v>
      </c>
      <c r="L16" s="104">
        <f>K16/(1-N16)</f>
        <v>0</v>
      </c>
      <c r="M16" s="85">
        <f>J16-L16</f>
        <v>0</v>
      </c>
      <c r="N16" s="29">
        <v>0.03</v>
      </c>
      <c r="P16" s="30"/>
      <c r="R16" t="s">
        <v>111</v>
      </c>
      <c r="S16" s="59">
        <f>K6+K7</f>
        <v>0</v>
      </c>
      <c r="T16" s="59">
        <f t="shared" si="3"/>
        <v>0</v>
      </c>
      <c r="U16" s="172"/>
      <c r="V16" s="6"/>
    </row>
    <row r="17" spans="2:23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3">
        <v>0</v>
      </c>
      <c r="L17" s="104">
        <f>K17/(1-N17)</f>
        <v>0</v>
      </c>
      <c r="M17" s="85">
        <f>J17-L17</f>
        <v>0</v>
      </c>
      <c r="N17" s="29">
        <v>0.03</v>
      </c>
      <c r="P17" s="30"/>
      <c r="R17" t="s">
        <v>112</v>
      </c>
      <c r="S17" s="59">
        <f>SUM(S13:S16)</f>
        <v>932250.46290322579</v>
      </c>
      <c r="T17" s="59">
        <f>SUM(T13:T16)</f>
        <v>932.25046290322587</v>
      </c>
      <c r="U17" s="172"/>
      <c r="V17" s="6"/>
      <c r="W17" s="6"/>
    </row>
    <row r="18" spans="2:23" x14ac:dyDescent="0.25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3">
        <v>91371</v>
      </c>
      <c r="L18" s="104">
        <f>K18/(1-N18)</f>
        <v>92107.862903225803</v>
      </c>
      <c r="M18" s="85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3">
        <v>0</v>
      </c>
      <c r="L19" s="104">
        <f>K19/(1-N19)</f>
        <v>0</v>
      </c>
      <c r="M19" s="85">
        <f t="shared" ref="M19:M20" si="4">J19-L19</f>
        <v>0</v>
      </c>
      <c r="N19" s="1">
        <v>0</v>
      </c>
      <c r="P19" s="30"/>
      <c r="R19" s="19" t="s">
        <v>113</v>
      </c>
      <c r="S19" s="21">
        <f>IF(K28&lt;0,0,K28)</f>
        <v>0</v>
      </c>
      <c r="T19" s="171">
        <f t="shared" ref="T19:T25" si="5">S19/1000</f>
        <v>0</v>
      </c>
      <c r="U19"/>
      <c r="V19" s="6"/>
    </row>
    <row r="20" spans="2:23" x14ac:dyDescent="0.25">
      <c r="B20" s="19" t="s">
        <v>14</v>
      </c>
      <c r="C20" s="73">
        <f t="shared" ref="C20:J20" si="6">SUM(C15:C19)</f>
        <v>0</v>
      </c>
      <c r="D20" s="73">
        <f t="shared" si="6"/>
        <v>0</v>
      </c>
      <c r="E20" s="73">
        <f t="shared" si="6"/>
        <v>0</v>
      </c>
      <c r="F20" s="73">
        <f t="shared" si="6"/>
        <v>0</v>
      </c>
      <c r="G20" s="73">
        <f t="shared" ref="G20" si="7">SUM(G15:G19)</f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>SUM(K15:K19)</f>
        <v>91371</v>
      </c>
      <c r="L20" s="86">
        <f>SUM(L15:L19)</f>
        <v>92107.862903225803</v>
      </c>
      <c r="M20" s="86">
        <f>SUM(M15:M19)</f>
        <v>0</v>
      </c>
      <c r="N20" s="32"/>
      <c r="O20" s="33"/>
      <c r="P20" s="30"/>
      <c r="R20" s="19" t="s">
        <v>35</v>
      </c>
      <c r="S20" s="174">
        <f>L32</f>
        <v>18127</v>
      </c>
      <c r="T20" s="171">
        <f t="shared" si="5"/>
        <v>18.126999999999999</v>
      </c>
      <c r="U20"/>
      <c r="V20" s="6"/>
    </row>
    <row r="21" spans="2:23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8"/>
      <c r="L21" s="87"/>
      <c r="M21" s="79"/>
      <c r="N21" s="30"/>
      <c r="R21" s="19" t="s">
        <v>36</v>
      </c>
      <c r="S21" s="174">
        <f>L33</f>
        <v>229889</v>
      </c>
      <c r="T21" s="171">
        <f t="shared" si="5"/>
        <v>229.88900000000001</v>
      </c>
      <c r="U21" s="172"/>
    </row>
    <row r="22" spans="2:23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R22" s="19" t="s">
        <v>37</v>
      </c>
      <c r="S22" s="174">
        <f>L34</f>
        <v>37621</v>
      </c>
      <c r="T22" s="171">
        <f t="shared" si="5"/>
        <v>37.621000000000002</v>
      </c>
      <c r="U22" s="172"/>
    </row>
    <row r="23" spans="2:23" ht="15.75" thickBot="1" x14ac:dyDescent="0.3">
      <c r="B23" s="35" t="s">
        <v>25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  <c r="R23" s="19" t="s">
        <v>38</v>
      </c>
      <c r="S23" s="174">
        <f>L35</f>
        <v>281185</v>
      </c>
      <c r="T23" s="171">
        <f t="shared" si="5"/>
        <v>281.185</v>
      </c>
      <c r="U23" s="172"/>
    </row>
    <row r="24" spans="2:23" x14ac:dyDescent="0.25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R24" s="19" t="s">
        <v>39</v>
      </c>
      <c r="S24" s="174">
        <f>L36</f>
        <v>74365</v>
      </c>
      <c r="T24" s="171">
        <f t="shared" si="5"/>
        <v>74.364999999999995</v>
      </c>
      <c r="U24" s="172"/>
    </row>
    <row r="25" spans="2:23" ht="15.75" thickBot="1" x14ac:dyDescent="0.3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R25" s="19" t="s">
        <v>44</v>
      </c>
      <c r="S25" s="174">
        <f>L41</f>
        <v>234400</v>
      </c>
      <c r="T25" s="171">
        <f t="shared" si="5"/>
        <v>234.4</v>
      </c>
      <c r="U25" s="172"/>
    </row>
    <row r="26" spans="2:23" ht="15.75" thickBot="1" x14ac:dyDescent="0.3">
      <c r="B26" s="8"/>
      <c r="C26" s="105"/>
      <c r="D26" s="105"/>
      <c r="E26" s="105"/>
      <c r="F26" s="105"/>
      <c r="G26" s="105"/>
      <c r="H26" s="105"/>
      <c r="I26" s="87"/>
      <c r="J26" s="106" t="s">
        <v>26</v>
      </c>
      <c r="K26" s="107" t="s">
        <v>27</v>
      </c>
      <c r="L26" s="87"/>
      <c r="M26" s="87"/>
      <c r="N26" s="38" t="s">
        <v>28</v>
      </c>
      <c r="R26" s="19" t="s">
        <v>114</v>
      </c>
      <c r="S26" s="60">
        <f>SUM(S20:S25)</f>
        <v>875587</v>
      </c>
      <c r="T26" s="60">
        <f>SUM(T20:T25)</f>
        <v>875.58699999999999</v>
      </c>
      <c r="U26" s="172"/>
    </row>
    <row r="27" spans="2:23" x14ac:dyDescent="0.25">
      <c r="B27" s="39" t="s">
        <v>29</v>
      </c>
      <c r="C27" s="78"/>
      <c r="D27" s="78"/>
      <c r="E27" s="78"/>
      <c r="F27" s="78"/>
      <c r="G27" s="78"/>
      <c r="H27" s="78"/>
      <c r="I27" s="87"/>
      <c r="J27" s="103">
        <f>K10-J40</f>
        <v>13770</v>
      </c>
      <c r="K27" s="134">
        <f>K40*8%</f>
        <v>26587.600000000002</v>
      </c>
      <c r="L27" s="87"/>
      <c r="M27" s="87"/>
      <c r="N27" s="40">
        <f>100-(J40/K10*100)</f>
        <v>10.714702563903046</v>
      </c>
      <c r="R27" s="175" t="s">
        <v>115</v>
      </c>
      <c r="S27" s="176"/>
      <c r="T27" s="177">
        <f t="shared" ref="T27:T34" si="8">S27/1000</f>
        <v>0</v>
      </c>
      <c r="U27" s="172"/>
    </row>
    <row r="28" spans="2:23" ht="15.75" thickBot="1" x14ac:dyDescent="0.3">
      <c r="B28" s="35" t="s">
        <v>30</v>
      </c>
      <c r="C28" s="88"/>
      <c r="D28" s="88"/>
      <c r="E28" s="88"/>
      <c r="F28" s="88"/>
      <c r="G28" s="88"/>
      <c r="H28" s="88"/>
      <c r="I28" s="88"/>
      <c r="J28" s="109">
        <f>J40+J27-K10</f>
        <v>0</v>
      </c>
      <c r="K28" s="95">
        <f>K20-K27-K40</f>
        <v>-267561.59999999998</v>
      </c>
      <c r="L28" s="87"/>
      <c r="M28" s="87"/>
      <c r="N28" s="1" t="str">
        <f>IF(N27&gt;10,"OBS! HÖGA FÖRLUSTER","OK")</f>
        <v>OBS! HÖGA FÖRLUSTER</v>
      </c>
      <c r="R28" s="51" t="s">
        <v>116</v>
      </c>
      <c r="S28" s="52">
        <f>K27</f>
        <v>26587.600000000002</v>
      </c>
      <c r="T28" s="178">
        <f t="shared" si="8"/>
        <v>26.587600000000002</v>
      </c>
      <c r="U28" s="172"/>
    </row>
    <row r="29" spans="2:23" ht="15.75" thickBot="1" x14ac:dyDescent="0.3"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R29" s="51" t="s">
        <v>117</v>
      </c>
      <c r="S29" s="52">
        <f>J27</f>
        <v>13770</v>
      </c>
      <c r="T29" s="178">
        <f t="shared" si="8"/>
        <v>13.77</v>
      </c>
      <c r="U29" s="50"/>
    </row>
    <row r="30" spans="2:23" ht="15.75" thickBot="1" x14ac:dyDescent="0.3">
      <c r="B30" s="8"/>
      <c r="C30" s="110" t="s">
        <v>0</v>
      </c>
      <c r="D30" s="110"/>
      <c r="E30" s="110"/>
      <c r="F30" s="110" t="s">
        <v>1</v>
      </c>
      <c r="G30" s="110"/>
      <c r="H30" s="110"/>
      <c r="I30" s="105"/>
      <c r="J30" s="105"/>
      <c r="K30" s="105"/>
      <c r="L30" s="111"/>
      <c r="M30" s="87"/>
      <c r="R30" s="51" t="s">
        <v>118</v>
      </c>
      <c r="S30" s="52">
        <f>L20-K20</f>
        <v>736.86290322580317</v>
      </c>
      <c r="T30" s="178">
        <f t="shared" si="8"/>
        <v>0.73686290322580317</v>
      </c>
      <c r="U30" s="55"/>
    </row>
    <row r="31" spans="2:23" ht="45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112" t="s">
        <v>32</v>
      </c>
      <c r="K31" s="112" t="s">
        <v>33</v>
      </c>
      <c r="L31" s="113" t="s">
        <v>34</v>
      </c>
      <c r="M31" s="87"/>
      <c r="R31" s="51" t="s">
        <v>119</v>
      </c>
      <c r="S31" s="52">
        <f>M4</f>
        <v>0</v>
      </c>
      <c r="T31" s="178">
        <f t="shared" si="8"/>
        <v>0</v>
      </c>
      <c r="U31" s="55"/>
    </row>
    <row r="32" spans="2:23" x14ac:dyDescent="0.25">
      <c r="B32" s="19" t="s">
        <v>35</v>
      </c>
      <c r="C32" s="78">
        <v>5827</v>
      </c>
      <c r="D32" s="78">
        <v>0</v>
      </c>
      <c r="E32" s="78">
        <v>0</v>
      </c>
      <c r="F32" s="78">
        <v>631</v>
      </c>
      <c r="G32" s="78">
        <v>0</v>
      </c>
      <c r="H32" s="78">
        <v>0</v>
      </c>
      <c r="I32" s="78">
        <v>0</v>
      </c>
      <c r="J32" s="78">
        <v>0</v>
      </c>
      <c r="K32" s="78">
        <v>11669</v>
      </c>
      <c r="L32" s="108">
        <f>SUM(C32:K32)</f>
        <v>18127</v>
      </c>
      <c r="M32" s="87"/>
      <c r="R32" s="51" t="s">
        <v>120</v>
      </c>
      <c r="S32" s="52">
        <f>M5</f>
        <v>15569</v>
      </c>
      <c r="T32" s="178">
        <f t="shared" si="8"/>
        <v>15.569000000000001</v>
      </c>
      <c r="U32"/>
    </row>
    <row r="33" spans="2:40" x14ac:dyDescent="0.25">
      <c r="B33" s="19" t="s">
        <v>36</v>
      </c>
      <c r="C33" s="114">
        <v>24298</v>
      </c>
      <c r="D33" s="78">
        <v>0</v>
      </c>
      <c r="E33" s="78">
        <v>3128</v>
      </c>
      <c r="F33" s="78">
        <v>1100</v>
      </c>
      <c r="G33" s="78">
        <v>0</v>
      </c>
      <c r="H33" s="114">
        <v>53611</v>
      </c>
      <c r="I33" s="78">
        <v>0</v>
      </c>
      <c r="J33" s="78">
        <v>31210</v>
      </c>
      <c r="K33" s="78">
        <v>116542</v>
      </c>
      <c r="L33" s="108">
        <f t="shared" ref="L33:L40" si="9">SUM(C33:K33)</f>
        <v>229889</v>
      </c>
      <c r="M33" s="87"/>
      <c r="R33" s="51" t="s">
        <v>121</v>
      </c>
      <c r="S33" s="52">
        <f>M15</f>
        <v>0</v>
      </c>
      <c r="T33" s="178">
        <f t="shared" si="8"/>
        <v>0</v>
      </c>
      <c r="U33" s="55"/>
    </row>
    <row r="34" spans="2:40" ht="15.75" thickBot="1" x14ac:dyDescent="0.3">
      <c r="B34" s="19" t="s">
        <v>37</v>
      </c>
      <c r="C34" s="78">
        <v>275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14649</v>
      </c>
      <c r="K34" s="78">
        <v>22697</v>
      </c>
      <c r="L34" s="108">
        <f t="shared" si="9"/>
        <v>37621</v>
      </c>
      <c r="M34" s="87"/>
      <c r="R34" s="56" t="s">
        <v>122</v>
      </c>
      <c r="S34" s="179">
        <f>M16</f>
        <v>0</v>
      </c>
      <c r="T34" s="180">
        <f t="shared" si="8"/>
        <v>0</v>
      </c>
      <c r="U34" s="55"/>
    </row>
    <row r="35" spans="2:40" x14ac:dyDescent="0.25">
      <c r="B35" s="19" t="s">
        <v>38</v>
      </c>
      <c r="C35" s="78">
        <v>241758</v>
      </c>
      <c r="D35" s="78">
        <v>0</v>
      </c>
      <c r="E35" s="78">
        <v>0</v>
      </c>
      <c r="F35" s="78">
        <v>21807</v>
      </c>
      <c r="G35" s="78">
        <v>0</v>
      </c>
      <c r="H35" s="78">
        <v>0</v>
      </c>
      <c r="I35" s="78">
        <v>0</v>
      </c>
      <c r="J35" s="78">
        <v>0</v>
      </c>
      <c r="K35" s="78">
        <v>17620</v>
      </c>
      <c r="L35" s="108">
        <f t="shared" si="9"/>
        <v>281185</v>
      </c>
      <c r="M35" s="87"/>
      <c r="R35" s="173" t="s">
        <v>123</v>
      </c>
      <c r="S35" s="181">
        <f>SUM(S28:S34)</f>
        <v>56663.462903225809</v>
      </c>
      <c r="T35" s="182">
        <f>SUM(T28:T34)</f>
        <v>56.663462903225813</v>
      </c>
      <c r="U35" s="55"/>
    </row>
    <row r="36" spans="2:40" x14ac:dyDescent="0.25">
      <c r="B36" s="19" t="s">
        <v>39</v>
      </c>
      <c r="C36" s="78">
        <v>4542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15683</v>
      </c>
      <c r="K36" s="78">
        <v>54140</v>
      </c>
      <c r="L36" s="108">
        <f t="shared" si="9"/>
        <v>74365</v>
      </c>
      <c r="M36" s="87"/>
      <c r="R36" s="173" t="s">
        <v>124</v>
      </c>
      <c r="S36"/>
      <c r="T36" s="60">
        <f>T26+T35+T19</f>
        <v>932.25046290322575</v>
      </c>
    </row>
    <row r="37" spans="2:40" x14ac:dyDescent="0.25">
      <c r="B37" s="19" t="s">
        <v>40</v>
      </c>
      <c r="C37" s="78">
        <v>983</v>
      </c>
      <c r="D37" s="78">
        <v>0</v>
      </c>
      <c r="E37" s="78">
        <v>0</v>
      </c>
      <c r="F37" s="78">
        <v>0</v>
      </c>
      <c r="G37" s="78">
        <v>0</v>
      </c>
      <c r="H37" s="78">
        <v>70527</v>
      </c>
      <c r="I37" s="78">
        <v>0</v>
      </c>
      <c r="J37" s="78">
        <v>5268</v>
      </c>
      <c r="K37" s="78">
        <v>87635</v>
      </c>
      <c r="L37" s="108">
        <f t="shared" si="9"/>
        <v>164413</v>
      </c>
      <c r="M37" s="87"/>
      <c r="R37" s="1" t="s">
        <v>125</v>
      </c>
      <c r="S37"/>
      <c r="T37" s="183">
        <f>T17-T36</f>
        <v>0</v>
      </c>
      <c r="U37"/>
    </row>
    <row r="38" spans="2:40" x14ac:dyDescent="0.25">
      <c r="B38" s="19" t="s">
        <v>41</v>
      </c>
      <c r="C38" s="78">
        <v>10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47935</v>
      </c>
      <c r="K38" s="78">
        <v>14300</v>
      </c>
      <c r="L38" s="108">
        <f t="shared" si="9"/>
        <v>62245</v>
      </c>
      <c r="M38" s="115"/>
      <c r="O38" s="6"/>
      <c r="P38" s="6"/>
      <c r="Q38" s="6"/>
      <c r="R38" s="173"/>
      <c r="S38"/>
      <c r="T38" s="60"/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7742</v>
      </c>
      <c r="L39" s="108">
        <f t="shared" si="9"/>
        <v>7742</v>
      </c>
      <c r="M39" s="87"/>
      <c r="S39"/>
      <c r="T39" s="184"/>
      <c r="U39" s="172"/>
    </row>
    <row r="40" spans="2:40" x14ac:dyDescent="0.25">
      <c r="B40" s="19" t="s">
        <v>43</v>
      </c>
      <c r="C40" s="102">
        <f>SUM(C32:C39)</f>
        <v>277693</v>
      </c>
      <c r="D40" s="103">
        <f t="shared" ref="D40:K40" si="10">SUM(D32:D39)</f>
        <v>0</v>
      </c>
      <c r="E40" s="103">
        <f t="shared" si="10"/>
        <v>3128</v>
      </c>
      <c r="F40" s="103">
        <f t="shared" si="10"/>
        <v>23538</v>
      </c>
      <c r="G40" s="103">
        <f t="shared" ref="G40" si="11">SUM(G32:G39)</f>
        <v>0</v>
      </c>
      <c r="H40" s="102">
        <f t="shared" si="10"/>
        <v>124138</v>
      </c>
      <c r="I40" s="103">
        <f t="shared" si="10"/>
        <v>0</v>
      </c>
      <c r="J40" s="103">
        <f t="shared" si="10"/>
        <v>114745</v>
      </c>
      <c r="K40" s="103">
        <f t="shared" si="10"/>
        <v>332345</v>
      </c>
      <c r="L40" s="108">
        <f t="shared" si="9"/>
        <v>875587</v>
      </c>
      <c r="M40" s="87"/>
    </row>
    <row r="41" spans="2:40" x14ac:dyDescent="0.25">
      <c r="B41" s="19" t="s">
        <v>44</v>
      </c>
      <c r="C41" s="103">
        <f>SUM(C37:C39)</f>
        <v>993</v>
      </c>
      <c r="D41" s="103">
        <f t="shared" ref="D41:L41" si="12">SUM(D37:D39)</f>
        <v>0</v>
      </c>
      <c r="E41" s="103">
        <f t="shared" si="12"/>
        <v>0</v>
      </c>
      <c r="F41" s="103">
        <f t="shared" si="12"/>
        <v>0</v>
      </c>
      <c r="G41" s="103">
        <f t="shared" ref="G41" si="13">SUM(G37:G39)</f>
        <v>0</v>
      </c>
      <c r="H41" s="103">
        <f t="shared" si="12"/>
        <v>70527</v>
      </c>
      <c r="I41" s="103">
        <f t="shared" si="12"/>
        <v>0</v>
      </c>
      <c r="J41" s="103">
        <f t="shared" si="12"/>
        <v>53203</v>
      </c>
      <c r="K41" s="103">
        <f t="shared" si="12"/>
        <v>109677</v>
      </c>
      <c r="L41" s="103">
        <f t="shared" si="12"/>
        <v>234400</v>
      </c>
      <c r="M41" s="87"/>
    </row>
    <row r="42" spans="2:40" x14ac:dyDescent="0.25">
      <c r="B42" s="24"/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2:40" ht="15.75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6"/>
    </row>
    <row r="47" spans="2:40" x14ac:dyDescent="0.25">
      <c r="D47" s="1" t="s">
        <v>46</v>
      </c>
      <c r="E47" s="1" t="s">
        <v>47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9"/>
  <sheetViews>
    <sheetView zoomScale="60" zoomScaleNormal="60" workbookViewId="0">
      <selection activeCell="M18" sqref="M18:M19"/>
    </sheetView>
  </sheetViews>
  <sheetFormatPr defaultRowHeight="15" x14ac:dyDescent="0.25"/>
  <cols>
    <col min="1" max="1" width="9.140625" style="1"/>
    <col min="2" max="2" width="44.7109375" style="1" bestFit="1" customWidth="1"/>
    <col min="3" max="4" width="13.7109375" style="1" bestFit="1" customWidth="1"/>
    <col min="5" max="6" width="12.5703125" style="1" bestFit="1" customWidth="1"/>
    <col min="7" max="7" width="12.5703125" style="1" customWidth="1"/>
    <col min="8" max="8" width="13.7109375" style="1" bestFit="1" customWidth="1"/>
    <col min="9" max="9" width="9.2851562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9" style="1" bestFit="1" customWidth="1"/>
    <col min="19" max="19" width="13" style="1" bestFit="1" customWidth="1"/>
    <col min="20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ht="17.25" x14ac:dyDescent="0.4">
      <c r="B4" s="19" t="s">
        <v>8</v>
      </c>
      <c r="C4" s="70">
        <v>0</v>
      </c>
      <c r="D4" s="117">
        <v>210800</v>
      </c>
      <c r="E4" s="70">
        <v>0</v>
      </c>
      <c r="F4" s="70">
        <v>0</v>
      </c>
      <c r="G4" s="70">
        <v>0</v>
      </c>
      <c r="H4" s="224">
        <v>0</v>
      </c>
      <c r="I4" s="70">
        <v>0</v>
      </c>
      <c r="J4" s="70">
        <v>210800</v>
      </c>
      <c r="K4" s="118">
        <v>158100</v>
      </c>
      <c r="L4" s="167">
        <f>K4/(K4+K5)</f>
        <v>0.91826244533114953</v>
      </c>
      <c r="M4" s="71">
        <f>J4-K4</f>
        <v>52700</v>
      </c>
      <c r="N4" s="1"/>
      <c r="O4" s="6"/>
      <c r="P4" s="6"/>
      <c r="Q4" s="6"/>
      <c r="R4" s="51" t="s">
        <v>105</v>
      </c>
      <c r="S4" s="21">
        <f>L20</f>
        <v>58956.258313934159</v>
      </c>
      <c r="T4" s="171">
        <f>S4/1000</f>
        <v>58.956258313934157</v>
      </c>
      <c r="U4" s="172"/>
      <c r="W4" s="1"/>
    </row>
    <row r="5" spans="2:23" s="7" customFormat="1" x14ac:dyDescent="0.25">
      <c r="B5" s="19" t="s">
        <v>9</v>
      </c>
      <c r="C5" s="70">
        <v>478</v>
      </c>
      <c r="D5" s="70">
        <v>0</v>
      </c>
      <c r="E5" s="70">
        <v>0</v>
      </c>
      <c r="F5" s="70">
        <v>0</v>
      </c>
      <c r="G5" s="70">
        <v>0</v>
      </c>
      <c r="H5" s="70">
        <v>16766</v>
      </c>
      <c r="I5" s="70">
        <v>0</v>
      </c>
      <c r="J5" s="70">
        <v>17244</v>
      </c>
      <c r="K5" s="73">
        <v>14073</v>
      </c>
      <c r="L5" s="167">
        <f>K5/(K4+K5)</f>
        <v>8.1737554668850521E-2</v>
      </c>
      <c r="M5" s="71">
        <f>J5-K5</f>
        <v>3171</v>
      </c>
      <c r="N5" s="1"/>
      <c r="O5" s="6"/>
      <c r="P5" s="6"/>
      <c r="Q5" s="6"/>
      <c r="R5" s="7" t="s">
        <v>106</v>
      </c>
      <c r="S5" s="21">
        <f>IF(K28&gt;0,0,K28)*-1</f>
        <v>120785.68</v>
      </c>
      <c r="T5" s="171">
        <f>S5/1000</f>
        <v>120.78568</v>
      </c>
      <c r="W5" s="1"/>
    </row>
    <row r="6" spans="2:23" s="7" customFormat="1" x14ac:dyDescent="0.25">
      <c r="B6" s="19" t="s">
        <v>10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3">
        <v>0</v>
      </c>
      <c r="L6" s="119"/>
      <c r="M6" s="71"/>
      <c r="N6" s="1"/>
      <c r="O6" s="6"/>
      <c r="P6" s="6"/>
      <c r="Q6" s="6"/>
      <c r="R6" s="51" t="s">
        <v>104</v>
      </c>
      <c r="S6" s="171">
        <f>H10+H20+H40</f>
        <v>60628.055999999997</v>
      </c>
      <c r="T6" s="171">
        <f>S6/1000</f>
        <v>60.628055999999994</v>
      </c>
      <c r="U6" s="172"/>
      <c r="W6" s="1"/>
    </row>
    <row r="7" spans="2:23" s="7" customFormat="1" x14ac:dyDescent="0.25">
      <c r="B7" s="19" t="s">
        <v>11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3">
        <v>0</v>
      </c>
      <c r="L7" s="119"/>
      <c r="M7" s="71"/>
      <c r="N7" s="1"/>
      <c r="O7" s="6"/>
      <c r="P7" s="6"/>
      <c r="Q7" s="6"/>
      <c r="R7" s="51" t="s">
        <v>56</v>
      </c>
      <c r="S7" s="171">
        <f>D10+D20+D40</f>
        <v>252960</v>
      </c>
      <c r="T7" s="171">
        <f>S7/1000</f>
        <v>252.96</v>
      </c>
      <c r="U7" s="172"/>
      <c r="V7" s="6"/>
      <c r="W7" s="1"/>
    </row>
    <row r="8" spans="2:23" s="7" customFormat="1" x14ac:dyDescent="0.25">
      <c r="B8" s="19" t="s">
        <v>12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3">
        <v>0</v>
      </c>
      <c r="L8" s="119"/>
      <c r="M8" s="71"/>
      <c r="N8" s="1"/>
      <c r="O8" s="6"/>
      <c r="P8" s="6"/>
      <c r="Q8" s="6"/>
      <c r="R8" s="51" t="s">
        <v>58</v>
      </c>
      <c r="S8" s="171">
        <f>G10+G20+G40</f>
        <v>0</v>
      </c>
      <c r="T8" s="171">
        <f t="shared" ref="T8:T12" si="0">S8/1000</f>
        <v>0</v>
      </c>
      <c r="U8" s="172"/>
      <c r="V8" s="6"/>
      <c r="W8" s="1"/>
    </row>
    <row r="9" spans="2:23" s="7" customFormat="1" x14ac:dyDescent="0.25">
      <c r="B9" s="19" t="s">
        <v>13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3">
        <v>0</v>
      </c>
      <c r="L9" s="119"/>
      <c r="M9" s="71"/>
      <c r="N9" s="1"/>
      <c r="O9" s="6"/>
      <c r="P9" s="6"/>
      <c r="Q9" s="6"/>
      <c r="R9" s="51" t="s">
        <v>59</v>
      </c>
      <c r="S9" s="171">
        <f>E10+E20+E40</f>
        <v>10.944000000000001</v>
      </c>
      <c r="T9" s="171">
        <f t="shared" si="0"/>
        <v>1.0944000000000001E-2</v>
      </c>
      <c r="U9" s="172"/>
      <c r="V9" s="6"/>
      <c r="W9" s="1"/>
    </row>
    <row r="10" spans="2:23" s="7" customFormat="1" ht="17.25" x14ac:dyDescent="0.4">
      <c r="B10" s="19" t="s">
        <v>14</v>
      </c>
      <c r="C10" s="73">
        <f t="shared" ref="C10:K10" si="1">SUM(C4:C9)</f>
        <v>478</v>
      </c>
      <c r="D10" s="118">
        <f t="shared" si="1"/>
        <v>210800</v>
      </c>
      <c r="E10" s="73">
        <f t="shared" si="1"/>
        <v>0</v>
      </c>
      <c r="F10" s="73">
        <f t="shared" si="1"/>
        <v>0</v>
      </c>
      <c r="G10" s="73">
        <f t="shared" ref="G10" si="2">SUM(G4:G9)</f>
        <v>0</v>
      </c>
      <c r="H10" s="203">
        <f t="shared" si="1"/>
        <v>16766</v>
      </c>
      <c r="I10" s="73">
        <f t="shared" si="1"/>
        <v>0</v>
      </c>
      <c r="J10" s="73">
        <f t="shared" si="1"/>
        <v>228044</v>
      </c>
      <c r="K10" s="118">
        <f t="shared" si="1"/>
        <v>172173</v>
      </c>
      <c r="L10" s="119"/>
      <c r="M10" s="71">
        <f>SUM(M4:M9)</f>
        <v>55871</v>
      </c>
      <c r="N10" s="1"/>
      <c r="O10" s="6"/>
      <c r="P10" s="6"/>
      <c r="Q10" s="6"/>
      <c r="R10" s="51" t="s">
        <v>25</v>
      </c>
      <c r="S10" s="171">
        <f>I10+I20+I40</f>
        <v>0</v>
      </c>
      <c r="T10" s="171">
        <f t="shared" si="0"/>
        <v>0</v>
      </c>
      <c r="U10" s="172"/>
      <c r="V10" s="6"/>
      <c r="W10" s="1"/>
    </row>
    <row r="11" spans="2:23" s="7" customFormat="1" x14ac:dyDescent="0.25">
      <c r="B11" s="22"/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120"/>
      <c r="N11" s="1"/>
      <c r="O11" s="6"/>
      <c r="P11" s="6"/>
      <c r="Q11" s="6"/>
      <c r="R11" s="51" t="s">
        <v>60</v>
      </c>
      <c r="S11" s="171">
        <f>F10+F20+F40</f>
        <v>23161</v>
      </c>
      <c r="T11" s="171">
        <f t="shared" si="0"/>
        <v>23.161000000000001</v>
      </c>
      <c r="U11" s="172"/>
      <c r="V11" s="6"/>
      <c r="W11" s="1"/>
    </row>
    <row r="12" spans="2:23" s="7" customFormat="1" x14ac:dyDescent="0.25">
      <c r="B12" s="23" t="s">
        <v>15</v>
      </c>
      <c r="C12" s="75"/>
      <c r="D12" s="75"/>
      <c r="E12" s="75"/>
      <c r="F12" s="75"/>
      <c r="G12" s="75"/>
      <c r="H12" s="75"/>
      <c r="I12" s="75"/>
      <c r="J12" s="119"/>
      <c r="K12" s="119"/>
      <c r="L12" s="76"/>
      <c r="M12" s="120"/>
      <c r="N12" s="1"/>
      <c r="O12" s="6"/>
      <c r="P12" s="6"/>
      <c r="Q12" s="6"/>
      <c r="R12" s="51" t="s">
        <v>61</v>
      </c>
      <c r="S12" s="171">
        <f>C10+C20+C40</f>
        <v>263750</v>
      </c>
      <c r="T12" s="171">
        <f t="shared" si="0"/>
        <v>263.75</v>
      </c>
      <c r="U12" s="172"/>
      <c r="V12" s="6"/>
      <c r="W12" s="1"/>
    </row>
    <row r="13" spans="2:23" x14ac:dyDescent="0.25">
      <c r="B13" s="2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21"/>
      <c r="N13" s="6"/>
      <c r="R13" s="173" t="s">
        <v>108</v>
      </c>
      <c r="S13" s="171">
        <f>SUM(S4:S12)</f>
        <v>780251.93831393414</v>
      </c>
      <c r="T13" s="171">
        <f>SUM(T4:T12)</f>
        <v>780.25193831393415</v>
      </c>
      <c r="U13" s="172"/>
    </row>
    <row r="14" spans="2:23" ht="18.75" x14ac:dyDescent="0.3">
      <c r="B14" s="26" t="s">
        <v>16</v>
      </c>
      <c r="C14" s="122"/>
      <c r="D14" s="122"/>
      <c r="E14" s="122"/>
      <c r="F14" s="122"/>
      <c r="G14" s="122"/>
      <c r="H14" s="122"/>
      <c r="I14" s="122"/>
      <c r="J14" s="122"/>
      <c r="K14" s="101" t="s">
        <v>17</v>
      </c>
      <c r="L14" s="123" t="s">
        <v>18</v>
      </c>
      <c r="M14" s="124"/>
      <c r="N14" s="27" t="s">
        <v>19</v>
      </c>
      <c r="O14" s="28"/>
      <c r="R14" t="s">
        <v>109</v>
      </c>
      <c r="S14" s="59">
        <f>K8</f>
        <v>0</v>
      </c>
      <c r="T14" s="59">
        <f>S14/1000</f>
        <v>0</v>
      </c>
      <c r="U14" s="172"/>
      <c r="V14"/>
    </row>
    <row r="15" spans="2:23" ht="17.25" x14ac:dyDescent="0.4">
      <c r="B15" s="19" t="s">
        <v>20</v>
      </c>
      <c r="C15" s="73">
        <v>0</v>
      </c>
      <c r="D15" s="118">
        <v>42160</v>
      </c>
      <c r="E15" s="73">
        <v>0</v>
      </c>
      <c r="F15" s="73">
        <v>0</v>
      </c>
      <c r="G15" s="73">
        <v>0</v>
      </c>
      <c r="H15" s="118">
        <v>0</v>
      </c>
      <c r="I15" s="73">
        <v>0</v>
      </c>
      <c r="J15" s="118">
        <v>42160.000000000007</v>
      </c>
      <c r="K15" s="118">
        <v>20000</v>
      </c>
      <c r="L15" s="125">
        <f>K15/(1-N15)</f>
        <v>20618.556701030928</v>
      </c>
      <c r="M15" s="126">
        <f>J15-L15</f>
        <v>21541.443298969079</v>
      </c>
      <c r="N15" s="29">
        <v>0.03</v>
      </c>
      <c r="P15" s="30"/>
      <c r="R15" t="s">
        <v>110</v>
      </c>
      <c r="S15" s="59">
        <f>K9</f>
        <v>0</v>
      </c>
      <c r="T15" s="59">
        <f t="shared" ref="T15:T16" si="3">S15/1000</f>
        <v>0</v>
      </c>
      <c r="U15" s="172"/>
      <c r="V15"/>
    </row>
    <row r="16" spans="2:23" x14ac:dyDescent="0.25">
      <c r="B16" s="19" t="s">
        <v>21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125">
        <f>K16/(1-N16)</f>
        <v>0</v>
      </c>
      <c r="M16" s="126">
        <f>J16-L16</f>
        <v>0</v>
      </c>
      <c r="N16" s="29">
        <v>0.03</v>
      </c>
      <c r="P16" s="30"/>
      <c r="R16" t="s">
        <v>111</v>
      </c>
      <c r="S16" s="59">
        <f>K6+K7</f>
        <v>0</v>
      </c>
      <c r="T16" s="59">
        <f t="shared" si="3"/>
        <v>0</v>
      </c>
      <c r="U16" s="172"/>
      <c r="V16" s="6"/>
    </row>
    <row r="17" spans="2:23" x14ac:dyDescent="0.25">
      <c r="B17" s="19" t="s">
        <v>22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125">
        <f>K17/(1-N17)</f>
        <v>0</v>
      </c>
      <c r="M17" s="126">
        <f>J17-L17</f>
        <v>0</v>
      </c>
      <c r="N17" s="29">
        <v>0.03</v>
      </c>
      <c r="P17" s="30"/>
      <c r="R17" t="s">
        <v>112</v>
      </c>
      <c r="S17" s="59">
        <f>SUM(S13:S16)</f>
        <v>780251.93831393414</v>
      </c>
      <c r="T17" s="59">
        <f>SUM(T13:T16)</f>
        <v>780.25193831393415</v>
      </c>
      <c r="U17" s="172"/>
      <c r="V17" s="6"/>
      <c r="W17" s="6"/>
    </row>
    <row r="18" spans="2:23" x14ac:dyDescent="0.25">
      <c r="B18" s="19" t="s">
        <v>23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38031</v>
      </c>
      <c r="L18" s="125">
        <f>K18/(1-N18)</f>
        <v>38337.701612903227</v>
      </c>
      <c r="M18" s="126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125">
        <f>K19/(1-N19)</f>
        <v>0</v>
      </c>
      <c r="M19" s="126"/>
      <c r="N19" s="1">
        <v>0</v>
      </c>
      <c r="P19" s="30"/>
      <c r="R19" s="19" t="s">
        <v>113</v>
      </c>
      <c r="S19" s="21">
        <f>IF(K28&lt;0,0,K28)</f>
        <v>0</v>
      </c>
      <c r="T19" s="171">
        <f t="shared" ref="T19:T25" si="4">S19/1000</f>
        <v>0</v>
      </c>
      <c r="U19"/>
      <c r="V19" s="6"/>
    </row>
    <row r="20" spans="2:23" ht="17.25" x14ac:dyDescent="0.4">
      <c r="B20" s="19" t="s">
        <v>14</v>
      </c>
      <c r="C20" s="73">
        <f t="shared" ref="C20:J20" si="5">SUM(C15:C19)</f>
        <v>0</v>
      </c>
      <c r="D20" s="118">
        <f t="shared" si="5"/>
        <v>42160</v>
      </c>
      <c r="E20" s="73">
        <f t="shared" si="5"/>
        <v>0</v>
      </c>
      <c r="F20" s="73">
        <f t="shared" si="5"/>
        <v>0</v>
      </c>
      <c r="G20" s="73">
        <f t="shared" ref="G20" si="6">SUM(G15:G19)</f>
        <v>0</v>
      </c>
      <c r="H20" s="118">
        <f t="shared" si="5"/>
        <v>0</v>
      </c>
      <c r="I20" s="73">
        <f t="shared" si="5"/>
        <v>0</v>
      </c>
      <c r="J20" s="118">
        <f t="shared" si="5"/>
        <v>42160.000000000007</v>
      </c>
      <c r="K20" s="118">
        <f>SUM(K15:K19)</f>
        <v>58031</v>
      </c>
      <c r="L20" s="86">
        <f>SUM(L15:L19)</f>
        <v>58956.258313934159</v>
      </c>
      <c r="M20" s="86">
        <f>SUM(M15:M19)</f>
        <v>21541.443298969079</v>
      </c>
      <c r="N20" s="32"/>
      <c r="O20" s="33"/>
      <c r="P20" s="30"/>
      <c r="R20" s="19" t="s">
        <v>35</v>
      </c>
      <c r="S20" s="174">
        <f>L32</f>
        <v>11027</v>
      </c>
      <c r="T20" s="171">
        <f t="shared" si="4"/>
        <v>11.026999999999999</v>
      </c>
      <c r="U20"/>
      <c r="V20" s="6"/>
    </row>
    <row r="21" spans="2:23" x14ac:dyDescent="0.25">
      <c r="B21" s="24"/>
      <c r="C21" s="73"/>
      <c r="D21" s="73"/>
      <c r="E21" s="73"/>
      <c r="F21" s="73"/>
      <c r="G21" s="73"/>
      <c r="H21" s="73"/>
      <c r="I21" s="73"/>
      <c r="J21" s="73"/>
      <c r="K21" s="73"/>
      <c r="L21" s="70"/>
      <c r="M21" s="121"/>
      <c r="N21" s="30"/>
      <c r="R21" s="19" t="s">
        <v>36</v>
      </c>
      <c r="S21" s="174">
        <f>L33</f>
        <v>262859</v>
      </c>
      <c r="T21" s="171">
        <f t="shared" si="4"/>
        <v>262.85899999999998</v>
      </c>
      <c r="U21" s="172"/>
    </row>
    <row r="22" spans="2:23" x14ac:dyDescent="0.25">
      <c r="B22" s="2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121"/>
      <c r="R22" s="19" t="s">
        <v>37</v>
      </c>
      <c r="S22" s="174">
        <f>L34</f>
        <v>8134.230712856217</v>
      </c>
      <c r="T22" s="171">
        <f t="shared" si="4"/>
        <v>8.1342307128562172</v>
      </c>
      <c r="U22" s="172"/>
    </row>
    <row r="23" spans="2:23" ht="15.75" thickBot="1" x14ac:dyDescent="0.3">
      <c r="B23" s="35" t="s">
        <v>25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27"/>
      <c r="R23" s="19" t="s">
        <v>38</v>
      </c>
      <c r="S23" s="174">
        <f>L35</f>
        <v>263202</v>
      </c>
      <c r="T23" s="171">
        <f t="shared" si="4"/>
        <v>263.202</v>
      </c>
      <c r="U23" s="172"/>
    </row>
    <row r="24" spans="2:23" x14ac:dyDescent="0.25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R24" s="19" t="s">
        <v>39</v>
      </c>
      <c r="S24" s="174">
        <f>L36</f>
        <v>35738.769287143783</v>
      </c>
      <c r="T24" s="171">
        <f t="shared" si="4"/>
        <v>35.738769287143782</v>
      </c>
      <c r="U24" s="172"/>
    </row>
    <row r="25" spans="2:23" ht="15.75" thickBot="1" x14ac:dyDescent="0.3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R25" s="19" t="s">
        <v>44</v>
      </c>
      <c r="S25" s="174">
        <f>L41</f>
        <v>85366</v>
      </c>
      <c r="T25" s="171">
        <f t="shared" si="4"/>
        <v>85.366</v>
      </c>
      <c r="U25" s="172"/>
    </row>
    <row r="26" spans="2:23" ht="15.75" thickBot="1" x14ac:dyDescent="0.3">
      <c r="B26" s="8"/>
      <c r="C26" s="90"/>
      <c r="D26" s="90"/>
      <c r="E26" s="90"/>
      <c r="F26" s="90"/>
      <c r="G26" s="90"/>
      <c r="H26" s="90"/>
      <c r="I26" s="70"/>
      <c r="J26" s="91" t="s">
        <v>26</v>
      </c>
      <c r="K26" s="92" t="s">
        <v>27</v>
      </c>
      <c r="L26" s="70"/>
      <c r="M26" s="70"/>
      <c r="N26" s="38" t="s">
        <v>28</v>
      </c>
      <c r="R26" s="19" t="s">
        <v>114</v>
      </c>
      <c r="S26" s="60">
        <f>SUM(S20:S25)</f>
        <v>666327</v>
      </c>
      <c r="T26" s="60">
        <f>SUM(T20:T25)</f>
        <v>666.32699999999988</v>
      </c>
      <c r="U26" s="172"/>
    </row>
    <row r="27" spans="2:23" x14ac:dyDescent="0.25">
      <c r="B27" s="39" t="s">
        <v>29</v>
      </c>
      <c r="C27" s="73"/>
      <c r="D27" s="73"/>
      <c r="E27" s="73"/>
      <c r="F27" s="73"/>
      <c r="G27" s="73"/>
      <c r="H27" s="73"/>
      <c r="I27" s="70"/>
      <c r="J27" s="69">
        <f>K10-J40</f>
        <v>1723.0000000000291</v>
      </c>
      <c r="K27" s="134">
        <f>K40*8%</f>
        <v>13245.68</v>
      </c>
      <c r="L27" s="70"/>
      <c r="M27" s="70"/>
      <c r="N27" s="40">
        <f>100-(J40/K10*100)</f>
        <v>1.0007376301743136</v>
      </c>
      <c r="R27" s="175" t="s">
        <v>115</v>
      </c>
      <c r="S27" s="176"/>
      <c r="T27" s="177">
        <f t="shared" ref="T27:T34" si="7">S27/1000</f>
        <v>0</v>
      </c>
      <c r="U27" s="172"/>
    </row>
    <row r="28" spans="2:23" ht="15.75" thickBot="1" x14ac:dyDescent="0.3">
      <c r="B28" s="35" t="s">
        <v>30</v>
      </c>
      <c r="C28" s="93"/>
      <c r="D28" s="93"/>
      <c r="E28" s="93"/>
      <c r="F28" s="93"/>
      <c r="G28" s="93"/>
      <c r="H28" s="93"/>
      <c r="I28" s="93"/>
      <c r="J28" s="94">
        <f>J40+J27-K10</f>
        <v>0</v>
      </c>
      <c r="K28" s="95">
        <f>K20-K27-K40</f>
        <v>-120785.68</v>
      </c>
      <c r="L28" s="70"/>
      <c r="M28" s="70"/>
      <c r="N28" s="1" t="str">
        <f>IF(N27&gt;10,"OBS! HÖGA FÖRLUSTER","OK")</f>
        <v>OK</v>
      </c>
      <c r="R28" s="51" t="s">
        <v>116</v>
      </c>
      <c r="S28" s="52">
        <f>K27</f>
        <v>13245.68</v>
      </c>
      <c r="T28" s="178">
        <f t="shared" si="7"/>
        <v>13.24568</v>
      </c>
      <c r="U28" s="172"/>
    </row>
    <row r="29" spans="2:23" ht="15.75" thickBot="1" x14ac:dyDescent="0.3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R29" s="51" t="s">
        <v>117</v>
      </c>
      <c r="S29" s="52">
        <f>J27</f>
        <v>1723.0000000000291</v>
      </c>
      <c r="T29" s="178">
        <f t="shared" si="7"/>
        <v>1.7230000000000292</v>
      </c>
      <c r="U29" s="50"/>
    </row>
    <row r="30" spans="2:23" ht="15.75" thickBot="1" x14ac:dyDescent="0.3">
      <c r="B30" s="8"/>
      <c r="C30" s="96" t="s">
        <v>0</v>
      </c>
      <c r="D30" s="96"/>
      <c r="E30" s="96"/>
      <c r="F30" s="96" t="s">
        <v>1</v>
      </c>
      <c r="G30" s="96"/>
      <c r="H30" s="96"/>
      <c r="I30" s="90"/>
      <c r="J30" s="90"/>
      <c r="K30" s="90"/>
      <c r="L30" s="97"/>
      <c r="M30" s="70"/>
      <c r="R30" s="51" t="s">
        <v>118</v>
      </c>
      <c r="S30" s="52">
        <f>L20-K20</f>
        <v>925.25831393415865</v>
      </c>
      <c r="T30" s="178">
        <f t="shared" si="7"/>
        <v>0.92525831393415869</v>
      </c>
      <c r="U30" s="55"/>
    </row>
    <row r="31" spans="2:23" ht="30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98" t="s">
        <v>32</v>
      </c>
      <c r="K31" s="98" t="s">
        <v>33</v>
      </c>
      <c r="L31" s="99" t="s">
        <v>34</v>
      </c>
      <c r="M31" s="70"/>
      <c r="R31" s="51" t="s">
        <v>119</v>
      </c>
      <c r="S31" s="52">
        <f>M4</f>
        <v>52700</v>
      </c>
      <c r="T31" s="178">
        <f t="shared" si="7"/>
        <v>52.7</v>
      </c>
      <c r="U31" s="55"/>
    </row>
    <row r="32" spans="2:23" x14ac:dyDescent="0.25">
      <c r="B32" s="19" t="s">
        <v>35</v>
      </c>
      <c r="C32" s="73">
        <v>3836</v>
      </c>
      <c r="D32" s="73">
        <v>0</v>
      </c>
      <c r="E32" s="73">
        <v>0</v>
      </c>
      <c r="F32" s="73">
        <v>415</v>
      </c>
      <c r="G32" s="73"/>
      <c r="H32" s="73">
        <v>0</v>
      </c>
      <c r="I32" s="73">
        <v>0</v>
      </c>
      <c r="J32" s="73">
        <v>0</v>
      </c>
      <c r="K32" s="73">
        <v>6776</v>
      </c>
      <c r="L32" s="71">
        <f>SUM(C32:K32)</f>
        <v>11027</v>
      </c>
      <c r="M32" s="70"/>
      <c r="R32" s="51" t="s">
        <v>120</v>
      </c>
      <c r="S32" s="52">
        <f>M5</f>
        <v>3171</v>
      </c>
      <c r="T32" s="178">
        <f t="shared" si="7"/>
        <v>3.1709999999999998</v>
      </c>
      <c r="U32"/>
    </row>
    <row r="33" spans="2:40" ht="17.25" x14ac:dyDescent="0.4">
      <c r="B33" s="19" t="s">
        <v>36</v>
      </c>
      <c r="C33" s="118">
        <v>16895</v>
      </c>
      <c r="D33" s="73">
        <v>0</v>
      </c>
      <c r="E33" s="118">
        <v>10.944000000000001</v>
      </c>
      <c r="F33" s="73">
        <v>399</v>
      </c>
      <c r="G33" s="73"/>
      <c r="H33" s="118">
        <v>14147.055999999997</v>
      </c>
      <c r="I33" s="73">
        <v>0</v>
      </c>
      <c r="J33" s="200">
        <v>151549.99999999997</v>
      </c>
      <c r="K33" s="73">
        <v>79857</v>
      </c>
      <c r="L33" s="209">
        <f t="shared" ref="L33:L40" si="8">SUM(C33:K33)</f>
        <v>262859</v>
      </c>
      <c r="M33" s="70"/>
      <c r="R33" s="51" t="s">
        <v>121</v>
      </c>
      <c r="S33" s="52">
        <f>M15</f>
        <v>21541.443298969079</v>
      </c>
      <c r="T33" s="178">
        <f t="shared" si="7"/>
        <v>21.541443298969078</v>
      </c>
      <c r="U33" s="55"/>
    </row>
    <row r="34" spans="2:40" ht="15.75" thickBot="1" x14ac:dyDescent="0.3">
      <c r="B34" s="19" t="s">
        <v>37</v>
      </c>
      <c r="C34" s="73">
        <v>50</v>
      </c>
      <c r="D34" s="73">
        <v>0</v>
      </c>
      <c r="E34" s="73">
        <v>0</v>
      </c>
      <c r="F34" s="73">
        <v>0</v>
      </c>
      <c r="G34" s="73"/>
      <c r="H34" s="73">
        <v>0</v>
      </c>
      <c r="I34" s="73">
        <v>0</v>
      </c>
      <c r="J34" s="73">
        <v>1395.2307128562165</v>
      </c>
      <c r="K34" s="73">
        <v>6689</v>
      </c>
      <c r="L34" s="71">
        <f t="shared" si="8"/>
        <v>8134.230712856217</v>
      </c>
      <c r="M34" s="70"/>
      <c r="R34" s="56" t="s">
        <v>122</v>
      </c>
      <c r="S34" s="179">
        <f>M16</f>
        <v>0</v>
      </c>
      <c r="T34" s="180">
        <f t="shared" si="7"/>
        <v>0</v>
      </c>
      <c r="U34" s="55"/>
    </row>
    <row r="35" spans="2:40" x14ac:dyDescent="0.25">
      <c r="B35" s="19" t="s">
        <v>38</v>
      </c>
      <c r="C35" s="73">
        <v>240433</v>
      </c>
      <c r="D35" s="73">
        <v>0</v>
      </c>
      <c r="E35" s="73">
        <v>0</v>
      </c>
      <c r="F35" s="73">
        <v>22347</v>
      </c>
      <c r="G35" s="73"/>
      <c r="H35" s="73">
        <v>0</v>
      </c>
      <c r="I35" s="73">
        <v>0</v>
      </c>
      <c r="J35" s="73">
        <v>0</v>
      </c>
      <c r="K35" s="73">
        <v>422</v>
      </c>
      <c r="L35" s="71">
        <f t="shared" si="8"/>
        <v>263202</v>
      </c>
      <c r="M35" s="70"/>
      <c r="R35" s="173" t="s">
        <v>123</v>
      </c>
      <c r="S35" s="181">
        <f>SUM(S28:S34)</f>
        <v>93306.381612903278</v>
      </c>
      <c r="T35" s="182">
        <f>SUM(T28:T34)</f>
        <v>93.306381612903266</v>
      </c>
      <c r="U35" s="55"/>
    </row>
    <row r="36" spans="2:40" x14ac:dyDescent="0.25">
      <c r="B36" s="19" t="s">
        <v>39</v>
      </c>
      <c r="C36" s="73">
        <v>946</v>
      </c>
      <c r="D36" s="73">
        <v>0</v>
      </c>
      <c r="E36" s="73">
        <v>0</v>
      </c>
      <c r="F36" s="73">
        <v>0</v>
      </c>
      <c r="G36" s="73"/>
      <c r="H36" s="73">
        <v>0</v>
      </c>
      <c r="I36" s="73">
        <v>0</v>
      </c>
      <c r="J36" s="73">
        <v>6004.7692871437821</v>
      </c>
      <c r="K36" s="73">
        <v>28788</v>
      </c>
      <c r="L36" s="71">
        <f t="shared" si="8"/>
        <v>35738.769287143783</v>
      </c>
      <c r="M36" s="70"/>
      <c r="R36" s="173" t="s">
        <v>124</v>
      </c>
      <c r="S36"/>
      <c r="T36" s="60">
        <f>T26+T35+T19</f>
        <v>759.63338161290312</v>
      </c>
    </row>
    <row r="37" spans="2:40" x14ac:dyDescent="0.25">
      <c r="B37" s="19" t="s">
        <v>40</v>
      </c>
      <c r="C37" s="73">
        <v>1032</v>
      </c>
      <c r="D37" s="73">
        <v>0</v>
      </c>
      <c r="E37" s="73">
        <v>0</v>
      </c>
      <c r="F37" s="73">
        <v>0</v>
      </c>
      <c r="G37" s="73"/>
      <c r="H37" s="73">
        <v>29715</v>
      </c>
      <c r="I37" s="73">
        <v>0</v>
      </c>
      <c r="J37" s="73">
        <v>1700.0000000000002</v>
      </c>
      <c r="K37" s="73">
        <v>36503</v>
      </c>
      <c r="L37" s="71">
        <f t="shared" si="8"/>
        <v>68950</v>
      </c>
      <c r="M37" s="70"/>
      <c r="R37" s="1" t="s">
        <v>125</v>
      </c>
      <c r="S37"/>
      <c r="T37" s="183">
        <f>T17-T36</f>
        <v>20.618556701031025</v>
      </c>
      <c r="U37"/>
    </row>
    <row r="38" spans="2:40" x14ac:dyDescent="0.25">
      <c r="B38" s="19" t="s">
        <v>41</v>
      </c>
      <c r="C38" s="73">
        <v>80</v>
      </c>
      <c r="D38" s="73">
        <v>0</v>
      </c>
      <c r="E38" s="73">
        <v>0</v>
      </c>
      <c r="F38" s="73">
        <v>0</v>
      </c>
      <c r="G38" s="73"/>
      <c r="H38" s="73">
        <v>0</v>
      </c>
      <c r="I38" s="73">
        <v>0</v>
      </c>
      <c r="J38" s="73">
        <v>9800</v>
      </c>
      <c r="K38" s="73">
        <v>3327</v>
      </c>
      <c r="L38" s="71">
        <f t="shared" si="8"/>
        <v>13207</v>
      </c>
      <c r="M38" s="100"/>
      <c r="O38" s="6"/>
      <c r="P38" s="6"/>
      <c r="Q38" s="6"/>
      <c r="R38" s="173" t="s">
        <v>124</v>
      </c>
      <c r="S38"/>
      <c r="T38" s="60">
        <f>T28+T37+T21</f>
        <v>296.723236701031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73">
        <v>0</v>
      </c>
      <c r="D39" s="73">
        <v>0</v>
      </c>
      <c r="E39" s="73">
        <v>0</v>
      </c>
      <c r="F39" s="73">
        <v>0</v>
      </c>
      <c r="G39" s="73"/>
      <c r="H39" s="73">
        <v>0</v>
      </c>
      <c r="I39" s="73">
        <v>0</v>
      </c>
      <c r="J39" s="73">
        <v>0</v>
      </c>
      <c r="K39" s="73">
        <v>3209</v>
      </c>
      <c r="L39" s="71">
        <f t="shared" si="8"/>
        <v>3209</v>
      </c>
      <c r="M39" s="70"/>
      <c r="S39" s="172"/>
      <c r="T39" s="184"/>
      <c r="U39" s="172"/>
    </row>
    <row r="40" spans="2:40" ht="17.25" x14ac:dyDescent="0.4">
      <c r="B40" s="19" t="s">
        <v>43</v>
      </c>
      <c r="C40" s="116">
        <f>SUM(C32:C39)</f>
        <v>263272</v>
      </c>
      <c r="D40" s="69">
        <f t="shared" ref="D40:K40" si="9">SUM(D32:D39)</f>
        <v>0</v>
      </c>
      <c r="E40" s="116">
        <f t="shared" si="9"/>
        <v>10.944000000000001</v>
      </c>
      <c r="F40" s="69">
        <f t="shared" si="9"/>
        <v>23161</v>
      </c>
      <c r="G40" s="69">
        <f t="shared" ref="G40" si="10">SUM(G32:G39)</f>
        <v>0</v>
      </c>
      <c r="H40" s="116">
        <f t="shared" si="9"/>
        <v>43862.055999999997</v>
      </c>
      <c r="I40" s="69">
        <f t="shared" si="9"/>
        <v>0</v>
      </c>
      <c r="J40" s="210">
        <f t="shared" si="9"/>
        <v>170449.99999999997</v>
      </c>
      <c r="K40" s="69">
        <f t="shared" si="9"/>
        <v>165571</v>
      </c>
      <c r="L40" s="209">
        <f t="shared" si="8"/>
        <v>666327</v>
      </c>
      <c r="M40" s="70"/>
    </row>
    <row r="41" spans="2:40" x14ac:dyDescent="0.25">
      <c r="B41" s="19" t="s">
        <v>44</v>
      </c>
      <c r="C41" s="69">
        <f>SUM(C37:C39)</f>
        <v>1112</v>
      </c>
      <c r="D41" s="69">
        <f t="shared" ref="D41:L41" si="11">SUM(D37:D39)</f>
        <v>0</v>
      </c>
      <c r="E41" s="69">
        <f t="shared" si="11"/>
        <v>0</v>
      </c>
      <c r="F41" s="69">
        <f t="shared" si="11"/>
        <v>0</v>
      </c>
      <c r="G41" s="69">
        <f t="shared" ref="G41" si="12">SUM(G37:G39)</f>
        <v>0</v>
      </c>
      <c r="H41" s="69">
        <f t="shared" si="11"/>
        <v>29715</v>
      </c>
      <c r="I41" s="69">
        <f t="shared" si="11"/>
        <v>0</v>
      </c>
      <c r="J41" s="69">
        <f t="shared" si="11"/>
        <v>11500</v>
      </c>
      <c r="K41" s="69">
        <f t="shared" si="11"/>
        <v>43039</v>
      </c>
      <c r="L41" s="69">
        <f t="shared" si="11"/>
        <v>85366</v>
      </c>
      <c r="M41" s="70"/>
    </row>
    <row r="42" spans="2:40" x14ac:dyDescent="0.25">
      <c r="B42" s="24"/>
      <c r="C42" s="20"/>
      <c r="D42" s="20"/>
      <c r="E42" s="20"/>
      <c r="F42" s="20"/>
      <c r="G42" s="20"/>
      <c r="H42" s="20"/>
      <c r="I42" s="20"/>
      <c r="J42" s="20"/>
      <c r="K42" s="20"/>
      <c r="L42" s="25"/>
      <c r="M42" s="34"/>
    </row>
    <row r="43" spans="2:40" ht="15.75" thickBot="1" x14ac:dyDescent="0.3">
      <c r="B43" s="44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4"/>
    </row>
    <row r="44" spans="2:40" x14ac:dyDescent="0.2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2:40" x14ac:dyDescent="0.2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2:40" x14ac:dyDescent="0.25">
      <c r="C46" s="34"/>
      <c r="D46" s="34"/>
      <c r="E46" s="21"/>
      <c r="F46" s="21"/>
      <c r="G46" s="21"/>
      <c r="H46" s="34"/>
      <c r="I46" s="34"/>
      <c r="J46" s="34"/>
      <c r="K46" s="34"/>
      <c r="L46" s="34"/>
      <c r="M46" s="34"/>
    </row>
    <row r="47" spans="2:40" x14ac:dyDescent="0.2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2:40" x14ac:dyDescent="0.25">
      <c r="H48" s="30"/>
    </row>
    <row r="49" spans="5:6" x14ac:dyDescent="0.25">
      <c r="E49" s="34"/>
      <c r="F49" s="34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3"/>
  <sheetViews>
    <sheetView zoomScale="60" zoomScaleNormal="60" workbookViewId="0">
      <selection activeCell="M20" sqref="L20:M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6.5703125" style="1" bestFit="1" customWidth="1"/>
    <col min="4" max="4" width="9.28515625" style="1" bestFit="1" customWidth="1"/>
    <col min="5" max="5" width="15" style="1" bestFit="1" customWidth="1"/>
    <col min="6" max="6" width="13.85546875" style="1" bestFit="1" customWidth="1"/>
    <col min="7" max="7" width="13.85546875" style="1" customWidth="1"/>
    <col min="8" max="8" width="15" style="1" bestFit="1" customWidth="1"/>
    <col min="9" max="9" width="9.2851562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9" style="1" bestFit="1" customWidth="1"/>
    <col min="19" max="19" width="13" style="1" bestFit="1" customWidth="1"/>
    <col min="20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70">
        <v>0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  <c r="J4" s="70">
        <v>0</v>
      </c>
      <c r="K4" s="73">
        <v>0</v>
      </c>
      <c r="L4" s="167">
        <f>K4/(K4+K5)</f>
        <v>0</v>
      </c>
      <c r="M4" s="71">
        <f>J4-K4</f>
        <v>0</v>
      </c>
      <c r="N4" s="1"/>
      <c r="O4" s="6"/>
      <c r="P4" s="6"/>
      <c r="Q4" s="6"/>
      <c r="R4" s="51" t="s">
        <v>105</v>
      </c>
      <c r="S4" s="21">
        <f>L20</f>
        <v>34886.088709677417</v>
      </c>
      <c r="T4" s="171">
        <f>S4/1000</f>
        <v>34.886088709677416</v>
      </c>
      <c r="U4" s="172"/>
      <c r="W4" s="1"/>
    </row>
    <row r="5" spans="2:23" s="7" customFormat="1" ht="17.25" x14ac:dyDescent="0.4">
      <c r="B5" s="19" t="s">
        <v>9</v>
      </c>
      <c r="C5" s="117">
        <v>1820</v>
      </c>
      <c r="D5" s="70">
        <v>0</v>
      </c>
      <c r="E5" s="70">
        <v>0</v>
      </c>
      <c r="F5" s="70">
        <v>0</v>
      </c>
      <c r="G5" s="70">
        <v>0</v>
      </c>
      <c r="H5" s="117">
        <v>31500</v>
      </c>
      <c r="I5" s="70">
        <v>0</v>
      </c>
      <c r="J5" s="117">
        <v>33320</v>
      </c>
      <c r="K5" s="118">
        <v>34434</v>
      </c>
      <c r="L5" s="167">
        <f>K5/(K4+K5)</f>
        <v>1</v>
      </c>
      <c r="M5" s="71">
        <f>J5-K5</f>
        <v>-1114</v>
      </c>
      <c r="N5" s="1"/>
      <c r="O5" s="6"/>
      <c r="P5" s="6"/>
      <c r="Q5" s="6"/>
      <c r="R5" s="7" t="s">
        <v>106</v>
      </c>
      <c r="S5" s="21">
        <f>IF(K28&gt;0,0,K28)*-1</f>
        <v>214814.68</v>
      </c>
      <c r="T5" s="171">
        <f>S5/1000</f>
        <v>214.81467999999998</v>
      </c>
      <c r="W5" s="1"/>
    </row>
    <row r="6" spans="2:23" s="7" customFormat="1" ht="17.25" x14ac:dyDescent="0.4">
      <c r="B6" s="19" t="s">
        <v>10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118">
        <v>780</v>
      </c>
      <c r="L6" s="119"/>
      <c r="M6" s="71"/>
      <c r="N6" s="1"/>
      <c r="O6" s="6"/>
      <c r="P6" s="6"/>
      <c r="Q6" s="6"/>
      <c r="R6" s="51" t="s">
        <v>104</v>
      </c>
      <c r="S6" s="171">
        <f>H10+H20+H40</f>
        <v>65506</v>
      </c>
      <c r="T6" s="171">
        <f>S6/1000</f>
        <v>65.506</v>
      </c>
      <c r="U6" s="172"/>
      <c r="W6" s="1"/>
    </row>
    <row r="7" spans="2:23" s="7" customFormat="1" x14ac:dyDescent="0.25">
      <c r="B7" s="19" t="s">
        <v>11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3">
        <v>0</v>
      </c>
      <c r="L7" s="119"/>
      <c r="M7" s="71"/>
      <c r="N7" s="1"/>
      <c r="O7" s="6"/>
      <c r="P7" s="6"/>
      <c r="Q7" s="6"/>
      <c r="R7" s="51" t="s">
        <v>56</v>
      </c>
      <c r="S7" s="171">
        <f>D10+D20+D40</f>
        <v>0</v>
      </c>
      <c r="T7" s="171">
        <f>S7/1000</f>
        <v>0</v>
      </c>
      <c r="U7" s="172"/>
      <c r="V7" s="6"/>
      <c r="W7" s="1"/>
    </row>
    <row r="8" spans="2:23" s="7" customFormat="1" x14ac:dyDescent="0.25">
      <c r="B8" s="19" t="s">
        <v>12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3">
        <v>0</v>
      </c>
      <c r="L8" s="119"/>
      <c r="M8" s="71"/>
      <c r="N8" s="1"/>
      <c r="O8" s="6"/>
      <c r="P8" s="6"/>
      <c r="Q8" s="6"/>
      <c r="R8" s="51" t="s">
        <v>58</v>
      </c>
      <c r="S8" s="171">
        <f>G10+G20+G40</f>
        <v>0</v>
      </c>
      <c r="T8" s="171">
        <f t="shared" ref="T8:T12" si="0">S8/1000</f>
        <v>0</v>
      </c>
      <c r="U8" s="172"/>
      <c r="V8" s="6"/>
      <c r="W8" s="1"/>
    </row>
    <row r="9" spans="2:23" s="7" customFormat="1" x14ac:dyDescent="0.25">
      <c r="B9" s="19" t="s">
        <v>13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200">
        <v>5100</v>
      </c>
      <c r="L9" s="119"/>
      <c r="M9" s="71"/>
      <c r="N9" s="1"/>
      <c r="O9" s="6"/>
      <c r="P9" s="6"/>
      <c r="Q9" s="6"/>
      <c r="R9" s="51" t="s">
        <v>59</v>
      </c>
      <c r="S9" s="171">
        <f>E10+E20+E40</f>
        <v>42828</v>
      </c>
      <c r="T9" s="171">
        <f t="shared" si="0"/>
        <v>42.828000000000003</v>
      </c>
      <c r="U9" s="172"/>
      <c r="V9" s="6"/>
      <c r="W9" s="1"/>
    </row>
    <row r="10" spans="2:23" s="7" customFormat="1" ht="17.25" x14ac:dyDescent="0.4">
      <c r="B10" s="19" t="s">
        <v>14</v>
      </c>
      <c r="C10" s="118">
        <f t="shared" ref="C10:K10" si="1">SUM(C4:C9)</f>
        <v>1820</v>
      </c>
      <c r="D10" s="73">
        <f t="shared" si="1"/>
        <v>0</v>
      </c>
      <c r="E10" s="73">
        <f t="shared" si="1"/>
        <v>0</v>
      </c>
      <c r="F10" s="73">
        <f t="shared" si="1"/>
        <v>0</v>
      </c>
      <c r="G10" s="73">
        <f t="shared" ref="G10" si="2">SUM(G4:G9)</f>
        <v>0</v>
      </c>
      <c r="H10" s="118">
        <f t="shared" si="1"/>
        <v>31500</v>
      </c>
      <c r="I10" s="73">
        <f t="shared" si="1"/>
        <v>0</v>
      </c>
      <c r="J10" s="118">
        <f t="shared" si="1"/>
        <v>33320</v>
      </c>
      <c r="K10" s="118">
        <f t="shared" si="1"/>
        <v>40314</v>
      </c>
      <c r="L10" s="119"/>
      <c r="M10" s="71">
        <f>SUM(M4:M9)</f>
        <v>-1114</v>
      </c>
      <c r="N10" s="1"/>
      <c r="O10" s="6"/>
      <c r="P10" s="6"/>
      <c r="Q10" s="6"/>
      <c r="R10" s="51" t="s">
        <v>25</v>
      </c>
      <c r="S10" s="171">
        <f>I10+I20+I40</f>
        <v>0</v>
      </c>
      <c r="T10" s="171">
        <f t="shared" si="0"/>
        <v>0</v>
      </c>
      <c r="U10" s="172"/>
      <c r="V10" s="6"/>
      <c r="W10" s="1"/>
    </row>
    <row r="11" spans="2:23" s="7" customFormat="1" x14ac:dyDescent="0.25">
      <c r="B11" s="22"/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120"/>
      <c r="N11" s="1"/>
      <c r="O11" s="6"/>
      <c r="P11" s="6"/>
      <c r="Q11" s="6"/>
      <c r="R11" s="51" t="s">
        <v>60</v>
      </c>
      <c r="S11" s="171">
        <f>F10+F20+F40</f>
        <v>8797</v>
      </c>
      <c r="T11" s="171">
        <f t="shared" si="0"/>
        <v>8.7970000000000006</v>
      </c>
      <c r="U11" s="172"/>
      <c r="V11" s="6"/>
      <c r="W11" s="1"/>
    </row>
    <row r="12" spans="2:23" s="7" customFormat="1" x14ac:dyDescent="0.25">
      <c r="B12" s="23" t="s">
        <v>15</v>
      </c>
      <c r="C12" s="75"/>
      <c r="D12" s="75"/>
      <c r="E12" s="75"/>
      <c r="F12" s="75"/>
      <c r="G12" s="75"/>
      <c r="H12" s="75"/>
      <c r="I12" s="75"/>
      <c r="J12" s="119"/>
      <c r="K12" s="119"/>
      <c r="L12" s="76"/>
      <c r="M12" s="120"/>
      <c r="N12" s="1"/>
      <c r="O12" s="6"/>
      <c r="P12" s="6"/>
      <c r="Q12" s="6"/>
      <c r="R12" s="51" t="s">
        <v>61</v>
      </c>
      <c r="S12" s="171">
        <f>C10+C20+C40</f>
        <v>110686</v>
      </c>
      <c r="T12" s="171">
        <f t="shared" si="0"/>
        <v>110.68600000000001</v>
      </c>
      <c r="U12" s="172"/>
      <c r="V12" s="6"/>
      <c r="W12" s="1"/>
    </row>
    <row r="13" spans="2:23" x14ac:dyDescent="0.25">
      <c r="B13" s="2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21"/>
      <c r="N13" s="6"/>
      <c r="R13" s="173" t="s">
        <v>108</v>
      </c>
      <c r="S13" s="171">
        <f>SUM(S4:S12)</f>
        <v>477517.76870967739</v>
      </c>
      <c r="T13" s="171">
        <f>SUM(T4:T12)</f>
        <v>477.5177687096774</v>
      </c>
      <c r="U13" s="172"/>
    </row>
    <row r="14" spans="2:23" ht="18.75" x14ac:dyDescent="0.3">
      <c r="B14" s="26" t="s">
        <v>16</v>
      </c>
      <c r="C14" s="122"/>
      <c r="D14" s="122"/>
      <c r="E14" s="122"/>
      <c r="F14" s="122"/>
      <c r="G14" s="122"/>
      <c r="H14" s="122"/>
      <c r="I14" s="122"/>
      <c r="J14" s="122"/>
      <c r="K14" s="101" t="s">
        <v>17</v>
      </c>
      <c r="L14" s="123" t="s">
        <v>18</v>
      </c>
      <c r="M14" s="124"/>
      <c r="N14" s="27" t="s">
        <v>19</v>
      </c>
      <c r="O14" s="28"/>
      <c r="R14" t="s">
        <v>109</v>
      </c>
      <c r="S14" s="59">
        <f>K8</f>
        <v>0</v>
      </c>
      <c r="T14" s="59">
        <f>S14/1000</f>
        <v>0</v>
      </c>
      <c r="U14" s="172"/>
      <c r="V14"/>
    </row>
    <row r="15" spans="2:23" x14ac:dyDescent="0.25">
      <c r="B15" s="19" t="s">
        <v>20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125">
        <f>K15/(1-N15)</f>
        <v>0</v>
      </c>
      <c r="M15" s="126">
        <f>J15-L15</f>
        <v>0</v>
      </c>
      <c r="N15" s="29">
        <v>0.03</v>
      </c>
      <c r="P15" s="30"/>
      <c r="R15" t="s">
        <v>110</v>
      </c>
      <c r="S15" s="59">
        <f>K9</f>
        <v>5100</v>
      </c>
      <c r="T15" s="59">
        <f t="shared" ref="T15:T16" si="3">S15/1000</f>
        <v>5.0999999999999996</v>
      </c>
      <c r="U15" s="172"/>
      <c r="V15"/>
    </row>
    <row r="16" spans="2:23" x14ac:dyDescent="0.25">
      <c r="B16" s="19" t="s">
        <v>21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125">
        <f>K16/(1-N16)</f>
        <v>0</v>
      </c>
      <c r="M16" s="126">
        <f>J16-L16</f>
        <v>0</v>
      </c>
      <c r="N16" s="29">
        <v>0.03</v>
      </c>
      <c r="P16" s="30"/>
      <c r="R16" t="s">
        <v>111</v>
      </c>
      <c r="S16" s="59">
        <f>K6+K7</f>
        <v>780</v>
      </c>
      <c r="T16" s="59">
        <f t="shared" si="3"/>
        <v>0.78</v>
      </c>
      <c r="U16" s="172"/>
      <c r="V16" s="6"/>
    </row>
    <row r="17" spans="2:23" x14ac:dyDescent="0.25">
      <c r="B17" s="19" t="s">
        <v>22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125">
        <f>K17/(1-N17)</f>
        <v>0</v>
      </c>
      <c r="M17" s="126">
        <f>J17-L17</f>
        <v>0</v>
      </c>
      <c r="N17" s="29">
        <v>0.03</v>
      </c>
      <c r="P17" s="30"/>
      <c r="R17" t="s">
        <v>112</v>
      </c>
      <c r="S17" s="59">
        <f>SUM(S13:S16)</f>
        <v>483397.76870967739</v>
      </c>
      <c r="T17" s="59">
        <f>SUM(T13:T16)</f>
        <v>483.39776870967739</v>
      </c>
      <c r="U17" s="172"/>
      <c r="V17" s="6"/>
      <c r="W17" s="6"/>
    </row>
    <row r="18" spans="2:23" x14ac:dyDescent="0.25">
      <c r="B18" s="19" t="s">
        <v>23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34607</v>
      </c>
      <c r="L18" s="125">
        <f>K18/(1-N18)</f>
        <v>34886.088709677417</v>
      </c>
      <c r="M18" s="126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125">
        <f>K19/(1-N19)</f>
        <v>0</v>
      </c>
      <c r="M19" s="126"/>
      <c r="N19" s="1">
        <v>0</v>
      </c>
      <c r="P19" s="30"/>
      <c r="R19" s="19" t="s">
        <v>113</v>
      </c>
      <c r="S19" s="21">
        <f>IF(K28&lt;0,0,K28)</f>
        <v>0</v>
      </c>
      <c r="T19" s="171">
        <f t="shared" ref="T19:T25" si="4">S19/1000</f>
        <v>0</v>
      </c>
      <c r="U19"/>
      <c r="V19" s="6"/>
    </row>
    <row r="20" spans="2:23" x14ac:dyDescent="0.25">
      <c r="B20" s="19" t="s">
        <v>14</v>
      </c>
      <c r="C20" s="73">
        <f t="shared" ref="C20:J20" si="5">SUM(C15:C19)</f>
        <v>0</v>
      </c>
      <c r="D20" s="73">
        <f t="shared" si="5"/>
        <v>0</v>
      </c>
      <c r="E20" s="73">
        <f t="shared" si="5"/>
        <v>0</v>
      </c>
      <c r="F20" s="73">
        <f t="shared" si="5"/>
        <v>0</v>
      </c>
      <c r="G20" s="73">
        <f t="shared" ref="G20" si="6">SUM(G15:G19)</f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>SUM(K15:K19)</f>
        <v>34607</v>
      </c>
      <c r="L20" s="86">
        <f>SUM(L15:L19)</f>
        <v>34886.088709677417</v>
      </c>
      <c r="M20" s="86">
        <f>SUM(M15:M19)</f>
        <v>0</v>
      </c>
      <c r="N20" s="32"/>
      <c r="O20" s="33"/>
      <c r="P20" s="30"/>
      <c r="R20" s="19" t="s">
        <v>35</v>
      </c>
      <c r="S20" s="174">
        <f>L32</f>
        <v>4324</v>
      </c>
      <c r="T20" s="171">
        <f t="shared" si="4"/>
        <v>4.3239999999999998</v>
      </c>
      <c r="U20"/>
      <c r="V20" s="6"/>
    </row>
    <row r="21" spans="2:23" x14ac:dyDescent="0.25">
      <c r="B21" s="24"/>
      <c r="C21" s="73"/>
      <c r="D21" s="73"/>
      <c r="E21" s="73"/>
      <c r="F21" s="73"/>
      <c r="G21" s="73"/>
      <c r="H21" s="73"/>
      <c r="I21" s="73"/>
      <c r="J21" s="73"/>
      <c r="K21" s="73"/>
      <c r="L21" s="70"/>
      <c r="M21" s="121"/>
      <c r="N21" s="30"/>
      <c r="R21" s="19" t="s">
        <v>36</v>
      </c>
      <c r="S21" s="174">
        <f>L33</f>
        <v>192585</v>
      </c>
      <c r="T21" s="171">
        <f t="shared" si="4"/>
        <v>192.58500000000001</v>
      </c>
      <c r="U21" s="172"/>
    </row>
    <row r="22" spans="2:23" x14ac:dyDescent="0.25">
      <c r="B22" s="2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121"/>
      <c r="R22" s="19" t="s">
        <v>37</v>
      </c>
      <c r="S22" s="174">
        <f>L34</f>
        <v>25885</v>
      </c>
      <c r="T22" s="171">
        <f t="shared" si="4"/>
        <v>25.885000000000002</v>
      </c>
      <c r="U22" s="172"/>
    </row>
    <row r="23" spans="2:23" ht="15.75" thickBot="1" x14ac:dyDescent="0.3">
      <c r="B23" s="35" t="s">
        <v>25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27"/>
      <c r="R23" s="19" t="s">
        <v>38</v>
      </c>
      <c r="S23" s="174">
        <f>L35</f>
        <v>103532</v>
      </c>
      <c r="T23" s="171">
        <f t="shared" si="4"/>
        <v>103.532</v>
      </c>
      <c r="U23" s="172"/>
    </row>
    <row r="24" spans="2:23" x14ac:dyDescent="0.25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R24" s="19" t="s">
        <v>39</v>
      </c>
      <c r="S24" s="174">
        <f>L36</f>
        <v>27879</v>
      </c>
      <c r="T24" s="171">
        <f t="shared" si="4"/>
        <v>27.879000000000001</v>
      </c>
      <c r="U24" s="172"/>
    </row>
    <row r="25" spans="2:23" ht="15.75" thickBot="1" x14ac:dyDescent="0.3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R25" s="19" t="s">
        <v>44</v>
      </c>
      <c r="S25" s="174">
        <f>L41</f>
        <v>111553</v>
      </c>
      <c r="T25" s="171">
        <f t="shared" si="4"/>
        <v>111.553</v>
      </c>
      <c r="U25" s="172"/>
    </row>
    <row r="26" spans="2:23" ht="15.75" thickBot="1" x14ac:dyDescent="0.3">
      <c r="B26" s="8"/>
      <c r="C26" s="90"/>
      <c r="D26" s="90"/>
      <c r="E26" s="90"/>
      <c r="F26" s="90"/>
      <c r="G26" s="90"/>
      <c r="H26" s="90"/>
      <c r="I26" s="70"/>
      <c r="J26" s="91" t="s">
        <v>26</v>
      </c>
      <c r="K26" s="92" t="s">
        <v>27</v>
      </c>
      <c r="L26" s="70"/>
      <c r="M26" s="70"/>
      <c r="N26" s="38" t="s">
        <v>28</v>
      </c>
      <c r="R26" s="19" t="s">
        <v>114</v>
      </c>
      <c r="S26" s="60">
        <f>SUM(S20:S25)</f>
        <v>465758</v>
      </c>
      <c r="T26" s="60">
        <f>SUM(T20:T25)</f>
        <v>465.75800000000004</v>
      </c>
      <c r="U26" s="172"/>
    </row>
    <row r="27" spans="2:23" x14ac:dyDescent="0.25">
      <c r="B27" s="39" t="s">
        <v>29</v>
      </c>
      <c r="C27" s="73"/>
      <c r="D27" s="73"/>
      <c r="E27" s="73"/>
      <c r="F27" s="73"/>
      <c r="G27" s="73"/>
      <c r="H27" s="73"/>
      <c r="I27" s="70"/>
      <c r="J27" s="69">
        <f>K10-J40</f>
        <v>-1</v>
      </c>
      <c r="K27" s="134">
        <f>K40*8%</f>
        <v>18475.68</v>
      </c>
      <c r="L27" s="70"/>
      <c r="M27" s="70"/>
      <c r="N27" s="40">
        <f>100-(J40/K10*100)</f>
        <v>-2.4805278563206912E-3</v>
      </c>
      <c r="R27" s="175" t="s">
        <v>115</v>
      </c>
      <c r="S27" s="176"/>
      <c r="T27" s="177">
        <f t="shared" ref="T27:T34" si="7">S27/1000</f>
        <v>0</v>
      </c>
      <c r="U27" s="172"/>
    </row>
    <row r="28" spans="2:23" ht="15.75" thickBot="1" x14ac:dyDescent="0.3">
      <c r="B28" s="35" t="s">
        <v>30</v>
      </c>
      <c r="C28" s="93"/>
      <c r="D28" s="93"/>
      <c r="E28" s="93"/>
      <c r="F28" s="93"/>
      <c r="G28" s="93"/>
      <c r="H28" s="93"/>
      <c r="I28" s="93"/>
      <c r="J28" s="94">
        <f>J40+J27-K10</f>
        <v>0</v>
      </c>
      <c r="K28" s="95">
        <f>K20-K27-K40</f>
        <v>-214814.68</v>
      </c>
      <c r="L28" s="70"/>
      <c r="M28" s="70"/>
      <c r="N28" s="1" t="str">
        <f>IF(N27&gt;10,"OBS! HÖGA FÖRLUSTER","OK")</f>
        <v>OK</v>
      </c>
      <c r="R28" s="51" t="s">
        <v>116</v>
      </c>
      <c r="S28" s="52">
        <f>K27</f>
        <v>18475.68</v>
      </c>
      <c r="T28" s="178">
        <f t="shared" si="7"/>
        <v>18.475680000000001</v>
      </c>
      <c r="U28" s="172"/>
    </row>
    <row r="29" spans="2:23" ht="15.75" thickBot="1" x14ac:dyDescent="0.3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R29" s="51" t="s">
        <v>117</v>
      </c>
      <c r="S29" s="52">
        <f>J27</f>
        <v>-1</v>
      </c>
      <c r="T29" s="178">
        <f t="shared" si="7"/>
        <v>-1E-3</v>
      </c>
      <c r="U29" s="50"/>
    </row>
    <row r="30" spans="2:23" ht="15.75" thickBot="1" x14ac:dyDescent="0.3">
      <c r="B30" s="8"/>
      <c r="C30" s="96" t="s">
        <v>0</v>
      </c>
      <c r="D30" s="96"/>
      <c r="E30" s="96"/>
      <c r="F30" s="96" t="s">
        <v>1</v>
      </c>
      <c r="G30" s="96"/>
      <c r="H30" s="96"/>
      <c r="I30" s="90"/>
      <c r="J30" s="90"/>
      <c r="K30" s="90"/>
      <c r="L30" s="97"/>
      <c r="M30" s="70"/>
      <c r="R30" s="51" t="s">
        <v>118</v>
      </c>
      <c r="S30" s="52">
        <f>L20-K20</f>
        <v>279.08870967741677</v>
      </c>
      <c r="T30" s="178">
        <f t="shared" si="7"/>
        <v>0.27908870967741678</v>
      </c>
      <c r="U30" s="55"/>
    </row>
    <row r="31" spans="2:23" ht="30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98" t="s">
        <v>32</v>
      </c>
      <c r="K31" s="98" t="s">
        <v>33</v>
      </c>
      <c r="L31" s="99" t="s">
        <v>34</v>
      </c>
      <c r="M31" s="70"/>
      <c r="R31" s="51" t="s">
        <v>119</v>
      </c>
      <c r="S31" s="52">
        <f>M4</f>
        <v>0</v>
      </c>
      <c r="T31" s="178">
        <f t="shared" si="7"/>
        <v>0</v>
      </c>
      <c r="U31" s="55"/>
    </row>
    <row r="32" spans="2:23" x14ac:dyDescent="0.25">
      <c r="B32" s="19" t="s">
        <v>35</v>
      </c>
      <c r="C32" s="73">
        <v>2132</v>
      </c>
      <c r="D32" s="73">
        <v>0</v>
      </c>
      <c r="E32" s="73">
        <v>0</v>
      </c>
      <c r="F32" s="73">
        <v>232</v>
      </c>
      <c r="G32" s="73"/>
      <c r="H32" s="73">
        <v>0</v>
      </c>
      <c r="I32" s="73">
        <v>0</v>
      </c>
      <c r="J32" s="73">
        <v>0</v>
      </c>
      <c r="K32" s="73">
        <v>1960</v>
      </c>
      <c r="L32" s="71">
        <f>SUM(C32:K32)</f>
        <v>4324</v>
      </c>
      <c r="M32" s="70"/>
      <c r="R32" s="51" t="s">
        <v>120</v>
      </c>
      <c r="S32" s="52">
        <f>M5</f>
        <v>-1114</v>
      </c>
      <c r="T32" s="178">
        <f t="shared" si="7"/>
        <v>-1.1140000000000001</v>
      </c>
      <c r="U32"/>
    </row>
    <row r="33" spans="2:40" ht="17.25" x14ac:dyDescent="0.4">
      <c r="B33" s="19" t="s">
        <v>36</v>
      </c>
      <c r="C33" s="118">
        <v>7316</v>
      </c>
      <c r="D33" s="73">
        <v>0</v>
      </c>
      <c r="E33" s="73">
        <v>42828</v>
      </c>
      <c r="F33" s="73">
        <v>228</v>
      </c>
      <c r="G33" s="73"/>
      <c r="H33" s="73">
        <v>0</v>
      </c>
      <c r="I33" s="73">
        <v>0</v>
      </c>
      <c r="J33" s="118">
        <v>1595</v>
      </c>
      <c r="K33" s="73">
        <v>140618</v>
      </c>
      <c r="L33" s="71">
        <f t="shared" ref="L33:L40" si="8">SUM(C33:K33)</f>
        <v>192585</v>
      </c>
      <c r="M33" s="70"/>
      <c r="R33" s="51" t="s">
        <v>121</v>
      </c>
      <c r="S33" s="52">
        <f>M15</f>
        <v>0</v>
      </c>
      <c r="T33" s="178">
        <f t="shared" si="7"/>
        <v>0</v>
      </c>
      <c r="U33" s="55"/>
    </row>
    <row r="34" spans="2:40" ht="18" thickBot="1" x14ac:dyDescent="0.45">
      <c r="B34" s="19" t="s">
        <v>37</v>
      </c>
      <c r="C34" s="118">
        <v>2430</v>
      </c>
      <c r="D34" s="73">
        <v>0</v>
      </c>
      <c r="E34" s="73">
        <v>0</v>
      </c>
      <c r="F34" s="73">
        <v>0</v>
      </c>
      <c r="G34" s="73"/>
      <c r="H34" s="73">
        <v>0</v>
      </c>
      <c r="I34" s="73">
        <v>0</v>
      </c>
      <c r="J34" s="118">
        <v>10161</v>
      </c>
      <c r="K34" s="73">
        <v>13294</v>
      </c>
      <c r="L34" s="71">
        <f t="shared" si="8"/>
        <v>25885</v>
      </c>
      <c r="M34" s="70"/>
      <c r="R34" s="56" t="s">
        <v>122</v>
      </c>
      <c r="S34" s="179">
        <f>M16</f>
        <v>0</v>
      </c>
      <c r="T34" s="180">
        <f t="shared" si="7"/>
        <v>0</v>
      </c>
      <c r="U34" s="55"/>
    </row>
    <row r="35" spans="2:40" x14ac:dyDescent="0.25">
      <c r="B35" s="19" t="s">
        <v>38</v>
      </c>
      <c r="C35" s="73">
        <v>94867</v>
      </c>
      <c r="D35" s="73">
        <v>0</v>
      </c>
      <c r="E35" s="73">
        <v>0</v>
      </c>
      <c r="F35" s="73">
        <v>8337</v>
      </c>
      <c r="G35" s="73"/>
      <c r="H35" s="73">
        <v>0</v>
      </c>
      <c r="I35" s="73">
        <v>0</v>
      </c>
      <c r="J35" s="73">
        <v>0</v>
      </c>
      <c r="K35" s="73">
        <v>328</v>
      </c>
      <c r="L35" s="71">
        <f t="shared" si="8"/>
        <v>103532</v>
      </c>
      <c r="M35" s="70"/>
      <c r="R35" s="173" t="s">
        <v>123</v>
      </c>
      <c r="S35" s="181">
        <f>SUM(S28:S34)</f>
        <v>17639.768709677417</v>
      </c>
      <c r="T35" s="182">
        <f>SUM(T28:T34)</f>
        <v>17.639768709677416</v>
      </c>
      <c r="U35" s="55"/>
    </row>
    <row r="36" spans="2:40" ht="17.25" x14ac:dyDescent="0.4">
      <c r="B36" s="19" t="s">
        <v>39</v>
      </c>
      <c r="C36" s="73">
        <v>338</v>
      </c>
      <c r="D36" s="73">
        <v>0</v>
      </c>
      <c r="E36" s="73">
        <v>0</v>
      </c>
      <c r="F36" s="73">
        <v>0</v>
      </c>
      <c r="G36" s="73"/>
      <c r="H36" s="73">
        <v>0</v>
      </c>
      <c r="I36" s="73">
        <v>0</v>
      </c>
      <c r="J36" s="118">
        <v>4294</v>
      </c>
      <c r="K36" s="128">
        <v>23247</v>
      </c>
      <c r="L36" s="129">
        <f t="shared" si="8"/>
        <v>27879</v>
      </c>
      <c r="M36" s="70"/>
      <c r="R36" s="173" t="s">
        <v>124</v>
      </c>
      <c r="S36"/>
      <c r="T36" s="60">
        <f>T26+T35+T19</f>
        <v>483.39776870967745</v>
      </c>
    </row>
    <row r="37" spans="2:40" ht="17.25" x14ac:dyDescent="0.4">
      <c r="B37" s="19" t="s">
        <v>40</v>
      </c>
      <c r="C37" s="118">
        <v>1683</v>
      </c>
      <c r="D37" s="73">
        <v>0</v>
      </c>
      <c r="E37" s="73">
        <v>0</v>
      </c>
      <c r="F37" s="73">
        <v>0</v>
      </c>
      <c r="G37" s="73"/>
      <c r="H37" s="73">
        <v>34006</v>
      </c>
      <c r="I37" s="73">
        <v>0</v>
      </c>
      <c r="J37" s="118">
        <v>794</v>
      </c>
      <c r="K37" s="73">
        <v>43553</v>
      </c>
      <c r="L37" s="71">
        <f t="shared" si="8"/>
        <v>80036</v>
      </c>
      <c r="M37" s="70"/>
      <c r="R37" s="1" t="s">
        <v>125</v>
      </c>
      <c r="S37"/>
      <c r="T37" s="183">
        <f>T17-T36</f>
        <v>0</v>
      </c>
      <c r="U37"/>
    </row>
    <row r="38" spans="2:40" ht="17.25" x14ac:dyDescent="0.4">
      <c r="B38" s="19" t="s">
        <v>41</v>
      </c>
      <c r="C38" s="73">
        <v>100</v>
      </c>
      <c r="D38" s="73">
        <v>0</v>
      </c>
      <c r="E38" s="73">
        <v>0</v>
      </c>
      <c r="F38" s="73">
        <v>0</v>
      </c>
      <c r="G38" s="73"/>
      <c r="H38" s="73">
        <v>0</v>
      </c>
      <c r="I38" s="73">
        <v>0</v>
      </c>
      <c r="J38" s="118">
        <v>23471</v>
      </c>
      <c r="K38" s="128">
        <v>5255</v>
      </c>
      <c r="L38" s="129">
        <f t="shared" si="8"/>
        <v>28826</v>
      </c>
      <c r="M38" s="100"/>
      <c r="O38" s="6"/>
      <c r="P38" s="6"/>
      <c r="Q38" s="6"/>
      <c r="R38" s="173" t="s">
        <v>124</v>
      </c>
      <c r="S38"/>
      <c r="T38" s="60">
        <f>T28+T37+T21</f>
        <v>211.06068000000002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73">
        <v>0</v>
      </c>
      <c r="D39" s="73">
        <v>0</v>
      </c>
      <c r="E39" s="73">
        <v>0</v>
      </c>
      <c r="F39" s="73">
        <v>0</v>
      </c>
      <c r="G39" s="73"/>
      <c r="H39" s="73">
        <v>0</v>
      </c>
      <c r="I39" s="73">
        <v>0</v>
      </c>
      <c r="J39" s="73">
        <v>0</v>
      </c>
      <c r="K39" s="73">
        <v>2691</v>
      </c>
      <c r="L39" s="71">
        <f t="shared" si="8"/>
        <v>2691</v>
      </c>
      <c r="M39" s="70"/>
      <c r="S39" s="172"/>
      <c r="T39" s="184"/>
      <c r="U39" s="172"/>
    </row>
    <row r="40" spans="2:40" ht="17.25" x14ac:dyDescent="0.4">
      <c r="B40" s="19" t="s">
        <v>43</v>
      </c>
      <c r="C40" s="210">
        <f>SUM(C32:C39)</f>
        <v>108866</v>
      </c>
      <c r="D40" s="69">
        <f t="shared" ref="D40:K40" si="9">SUM(D32:D39)</f>
        <v>0</v>
      </c>
      <c r="E40" s="69">
        <f t="shared" si="9"/>
        <v>42828</v>
      </c>
      <c r="F40" s="69">
        <f t="shared" si="9"/>
        <v>8797</v>
      </c>
      <c r="G40" s="69">
        <f t="shared" ref="G40" si="10">SUM(G32:G39)</f>
        <v>0</v>
      </c>
      <c r="H40" s="69">
        <f t="shared" si="9"/>
        <v>34006</v>
      </c>
      <c r="I40" s="69">
        <f t="shared" si="9"/>
        <v>0</v>
      </c>
      <c r="J40" s="69">
        <f t="shared" si="9"/>
        <v>40315</v>
      </c>
      <c r="K40" s="69">
        <f t="shared" si="9"/>
        <v>230946</v>
      </c>
      <c r="L40" s="129">
        <f t="shared" si="8"/>
        <v>465758</v>
      </c>
      <c r="M40" s="70"/>
    </row>
    <row r="41" spans="2:40" x14ac:dyDescent="0.25">
      <c r="B41" s="19" t="s">
        <v>44</v>
      </c>
      <c r="C41" s="69">
        <f>SUM(C37:C39)</f>
        <v>1783</v>
      </c>
      <c r="D41" s="69">
        <f t="shared" ref="D41:L41" si="11">SUM(D37:D39)</f>
        <v>0</v>
      </c>
      <c r="E41" s="69">
        <f t="shared" si="11"/>
        <v>0</v>
      </c>
      <c r="F41" s="69">
        <f t="shared" si="11"/>
        <v>0</v>
      </c>
      <c r="G41" s="69">
        <f t="shared" ref="G41" si="12">SUM(G37:G39)</f>
        <v>0</v>
      </c>
      <c r="H41" s="69">
        <f t="shared" si="11"/>
        <v>34006</v>
      </c>
      <c r="I41" s="69">
        <f t="shared" si="11"/>
        <v>0</v>
      </c>
      <c r="J41" s="69">
        <f t="shared" si="11"/>
        <v>24265</v>
      </c>
      <c r="K41" s="69">
        <f t="shared" si="11"/>
        <v>51499</v>
      </c>
      <c r="L41" s="69">
        <f t="shared" si="11"/>
        <v>111553</v>
      </c>
      <c r="M41" s="70"/>
    </row>
    <row r="42" spans="2:40" x14ac:dyDescent="0.25">
      <c r="B42" s="24"/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2:40" ht="15.75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6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3"/>
  <sheetViews>
    <sheetView zoomScale="70" zoomScaleNormal="70" workbookViewId="0">
      <selection activeCell="L20" sqref="L20:M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3.5703125" style="1" bestFit="1" customWidth="1"/>
    <col min="4" max="4" width="9.28515625" style="1" bestFit="1" customWidth="1"/>
    <col min="5" max="5" width="12.42578125" style="1" bestFit="1" customWidth="1"/>
    <col min="6" max="6" width="13.5703125" style="1" bestFit="1" customWidth="1"/>
    <col min="7" max="7" width="13.5703125" style="1" customWidth="1"/>
    <col min="8" max="8" width="13.5703125" style="1" bestFit="1" customWidth="1"/>
    <col min="9" max="9" width="9.2851562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6" style="1" bestFit="1" customWidth="1"/>
    <col min="19" max="19" width="13.140625" style="1" bestFit="1" customWidth="1"/>
    <col min="20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70">
        <v>0</v>
      </c>
      <c r="D4" s="70">
        <v>0</v>
      </c>
      <c r="E4" s="70">
        <v>0</v>
      </c>
      <c r="F4" s="70">
        <v>0</v>
      </c>
      <c r="G4" s="70"/>
      <c r="H4" s="70">
        <v>0</v>
      </c>
      <c r="I4" s="70">
        <v>0</v>
      </c>
      <c r="J4" s="70">
        <v>0</v>
      </c>
      <c r="K4" s="73">
        <v>0</v>
      </c>
      <c r="L4" s="167">
        <f>K4/(K4+K5)</f>
        <v>0</v>
      </c>
      <c r="M4" s="71">
        <f>J4-K4</f>
        <v>0</v>
      </c>
      <c r="N4" s="1"/>
      <c r="O4" s="6"/>
      <c r="P4" s="6"/>
      <c r="Q4" s="6"/>
      <c r="R4" s="51" t="s">
        <v>105</v>
      </c>
      <c r="S4" s="21">
        <f>L20</f>
        <v>135296.37096774194</v>
      </c>
      <c r="T4" s="171">
        <f>S4/1000</f>
        <v>135.29637096774195</v>
      </c>
      <c r="U4" s="172"/>
      <c r="W4" s="1"/>
    </row>
    <row r="5" spans="2:23" s="7" customFormat="1" x14ac:dyDescent="0.25">
      <c r="B5" s="19" t="s">
        <v>9</v>
      </c>
      <c r="C5" s="70">
        <v>2786</v>
      </c>
      <c r="D5" s="70">
        <v>0</v>
      </c>
      <c r="E5" s="70">
        <v>0</v>
      </c>
      <c r="F5" s="70">
        <v>16864</v>
      </c>
      <c r="G5" s="70"/>
      <c r="H5" s="70">
        <v>9120</v>
      </c>
      <c r="I5" s="70">
        <v>0</v>
      </c>
      <c r="J5" s="70">
        <v>28770</v>
      </c>
      <c r="K5" s="73">
        <v>22200</v>
      </c>
      <c r="L5" s="167">
        <f>K5/(K4+K5)</f>
        <v>1</v>
      </c>
      <c r="M5" s="71">
        <f>J5-K5</f>
        <v>6570</v>
      </c>
      <c r="N5" s="1"/>
      <c r="O5" s="6"/>
      <c r="P5" s="6"/>
      <c r="Q5" s="6"/>
      <c r="R5" s="7" t="s">
        <v>106</v>
      </c>
      <c r="S5" s="21">
        <f>IF(K28&gt;0,0,K28)*-1</f>
        <v>0</v>
      </c>
      <c r="T5" s="171">
        <f>S5/1000</f>
        <v>0</v>
      </c>
      <c r="W5" s="1"/>
    </row>
    <row r="6" spans="2:23" s="7" customFormat="1" x14ac:dyDescent="0.25">
      <c r="B6" s="19" t="s">
        <v>10</v>
      </c>
      <c r="C6" s="70">
        <v>0</v>
      </c>
      <c r="D6" s="70">
        <v>0</v>
      </c>
      <c r="E6" s="70">
        <v>0</v>
      </c>
      <c r="F6" s="70">
        <v>0</v>
      </c>
      <c r="G6" s="70"/>
      <c r="H6" s="70">
        <v>0</v>
      </c>
      <c r="I6" s="70">
        <v>0</v>
      </c>
      <c r="J6" s="70">
        <v>0</v>
      </c>
      <c r="K6" s="73">
        <v>0</v>
      </c>
      <c r="L6" s="119"/>
      <c r="M6" s="71"/>
      <c r="N6" s="1"/>
      <c r="O6" s="6"/>
      <c r="P6" s="6"/>
      <c r="Q6" s="6"/>
      <c r="R6" s="51" t="s">
        <v>104</v>
      </c>
      <c r="S6" s="171">
        <f>H10+H20+H40</f>
        <v>24303</v>
      </c>
      <c r="T6" s="171">
        <f>S6/1000</f>
        <v>24.303000000000001</v>
      </c>
      <c r="U6" s="172"/>
      <c r="W6" s="1"/>
    </row>
    <row r="7" spans="2:23" s="7" customFormat="1" x14ac:dyDescent="0.25">
      <c r="B7" s="19" t="s">
        <v>11</v>
      </c>
      <c r="C7" s="70">
        <v>0</v>
      </c>
      <c r="D7" s="70">
        <v>0</v>
      </c>
      <c r="E7" s="70">
        <v>0</v>
      </c>
      <c r="F7" s="70">
        <v>0</v>
      </c>
      <c r="G7" s="70"/>
      <c r="H7" s="70">
        <v>0</v>
      </c>
      <c r="I7" s="70">
        <v>0</v>
      </c>
      <c r="J7" s="70">
        <v>0</v>
      </c>
      <c r="K7" s="73">
        <v>0</v>
      </c>
      <c r="L7" s="119"/>
      <c r="M7" s="71"/>
      <c r="N7" s="1"/>
      <c r="O7" s="6"/>
      <c r="P7" s="6"/>
      <c r="Q7" s="6"/>
      <c r="R7" s="51" t="s">
        <v>56</v>
      </c>
      <c r="S7" s="171">
        <f>D10+D20+D40</f>
        <v>0</v>
      </c>
      <c r="T7" s="171">
        <f>S7/1000</f>
        <v>0</v>
      </c>
      <c r="U7" s="172"/>
      <c r="V7" s="6"/>
      <c r="W7" s="1"/>
    </row>
    <row r="8" spans="2:23" s="7" customFormat="1" x14ac:dyDescent="0.25">
      <c r="B8" s="19" t="s">
        <v>12</v>
      </c>
      <c r="C8" s="70">
        <v>0</v>
      </c>
      <c r="D8" s="70">
        <v>0</v>
      </c>
      <c r="E8" s="70">
        <v>0</v>
      </c>
      <c r="F8" s="70">
        <v>0</v>
      </c>
      <c r="G8" s="70"/>
      <c r="H8" s="70">
        <v>0</v>
      </c>
      <c r="I8" s="70">
        <v>0</v>
      </c>
      <c r="J8" s="70">
        <v>0</v>
      </c>
      <c r="K8" s="73">
        <v>0</v>
      </c>
      <c r="L8" s="119"/>
      <c r="M8" s="71"/>
      <c r="N8" s="1"/>
      <c r="O8" s="6"/>
      <c r="P8" s="6"/>
      <c r="Q8" s="6"/>
      <c r="R8" s="51" t="s">
        <v>58</v>
      </c>
      <c r="S8" s="171">
        <f>G10+G20+G40</f>
        <v>0</v>
      </c>
      <c r="T8" s="171">
        <f t="shared" ref="T8:T12" si="0">S8/1000</f>
        <v>0</v>
      </c>
      <c r="U8" s="172"/>
      <c r="V8" s="6"/>
      <c r="W8" s="1"/>
    </row>
    <row r="9" spans="2:23" s="7" customFormat="1" x14ac:dyDescent="0.25">
      <c r="B9" s="19" t="s">
        <v>13</v>
      </c>
      <c r="C9" s="70">
        <v>0</v>
      </c>
      <c r="D9" s="70">
        <v>0</v>
      </c>
      <c r="E9" s="70">
        <v>0</v>
      </c>
      <c r="F9" s="70">
        <v>0</v>
      </c>
      <c r="G9" s="70"/>
      <c r="H9" s="70">
        <v>0</v>
      </c>
      <c r="I9" s="70">
        <v>0</v>
      </c>
      <c r="J9" s="70">
        <v>0</v>
      </c>
      <c r="K9" s="73">
        <v>0</v>
      </c>
      <c r="L9" s="119"/>
      <c r="M9" s="71"/>
      <c r="N9" s="1"/>
      <c r="O9" s="6"/>
      <c r="P9" s="6"/>
      <c r="Q9" s="6"/>
      <c r="R9" s="51" t="s">
        <v>59</v>
      </c>
      <c r="S9" s="171">
        <f>E10+E20+E40</f>
        <v>3243.5555555555557</v>
      </c>
      <c r="T9" s="171">
        <f t="shared" si="0"/>
        <v>3.2435555555555555</v>
      </c>
      <c r="U9" s="172"/>
      <c r="V9" s="6"/>
      <c r="W9" s="1"/>
    </row>
    <row r="10" spans="2:23" s="7" customFormat="1" x14ac:dyDescent="0.25">
      <c r="B10" s="19" t="s">
        <v>14</v>
      </c>
      <c r="C10" s="73">
        <f t="shared" ref="C10:K10" si="1">SUM(C4:C9)</f>
        <v>2786</v>
      </c>
      <c r="D10" s="73">
        <f t="shared" si="1"/>
        <v>0</v>
      </c>
      <c r="E10" s="73">
        <f t="shared" si="1"/>
        <v>0</v>
      </c>
      <c r="F10" s="73">
        <f t="shared" si="1"/>
        <v>16864</v>
      </c>
      <c r="G10" s="73">
        <f t="shared" si="1"/>
        <v>0</v>
      </c>
      <c r="H10" s="73">
        <f t="shared" si="1"/>
        <v>9120</v>
      </c>
      <c r="I10" s="73">
        <f t="shared" si="1"/>
        <v>0</v>
      </c>
      <c r="J10" s="73">
        <f t="shared" si="1"/>
        <v>28770</v>
      </c>
      <c r="K10" s="73">
        <f t="shared" si="1"/>
        <v>22200</v>
      </c>
      <c r="L10" s="119"/>
      <c r="M10" s="71">
        <f>SUM(M4:M9)</f>
        <v>6570</v>
      </c>
      <c r="N10" s="1"/>
      <c r="O10" s="6"/>
      <c r="P10" s="6"/>
      <c r="Q10" s="6"/>
      <c r="R10" s="51" t="s">
        <v>25</v>
      </c>
      <c r="S10" s="171">
        <f>I10+I20+I40</f>
        <v>0</v>
      </c>
      <c r="T10" s="171">
        <f t="shared" si="0"/>
        <v>0</v>
      </c>
      <c r="U10" s="172"/>
      <c r="V10" s="6"/>
      <c r="W10" s="1"/>
    </row>
    <row r="11" spans="2:23" s="7" customFormat="1" x14ac:dyDescent="0.25">
      <c r="B11" s="22"/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120"/>
      <c r="N11" s="1"/>
      <c r="O11" s="6"/>
      <c r="P11" s="6"/>
      <c r="Q11" s="6"/>
      <c r="R11" s="51" t="s">
        <v>60</v>
      </c>
      <c r="S11" s="171">
        <f>F10+F20+F40</f>
        <v>21475</v>
      </c>
      <c r="T11" s="171">
        <f t="shared" si="0"/>
        <v>21.475000000000001</v>
      </c>
      <c r="U11" s="172"/>
      <c r="V11" s="6"/>
      <c r="W11" s="1"/>
    </row>
    <row r="12" spans="2:23" s="7" customFormat="1" x14ac:dyDescent="0.25">
      <c r="B12" s="23" t="s">
        <v>15</v>
      </c>
      <c r="C12" s="75"/>
      <c r="D12" s="75"/>
      <c r="E12" s="75"/>
      <c r="F12" s="75"/>
      <c r="G12" s="75"/>
      <c r="H12" s="75"/>
      <c r="I12" s="75"/>
      <c r="J12" s="119"/>
      <c r="K12" s="119"/>
      <c r="L12" s="76"/>
      <c r="M12" s="120"/>
      <c r="N12" s="1"/>
      <c r="O12" s="6"/>
      <c r="P12" s="6"/>
      <c r="Q12" s="6"/>
      <c r="R12" s="51" t="s">
        <v>61</v>
      </c>
      <c r="S12" s="171">
        <f>C10+C20+C40</f>
        <v>63131</v>
      </c>
      <c r="T12" s="171">
        <f t="shared" si="0"/>
        <v>63.131</v>
      </c>
      <c r="U12" s="172"/>
      <c r="V12" s="6"/>
      <c r="W12" s="1"/>
    </row>
    <row r="13" spans="2:23" x14ac:dyDescent="0.25">
      <c r="B13" s="2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21"/>
      <c r="N13" s="6"/>
      <c r="R13" s="173" t="s">
        <v>108</v>
      </c>
      <c r="S13" s="171">
        <f>SUM(S4:S12)</f>
        <v>247448.9265232975</v>
      </c>
      <c r="T13" s="171">
        <f>SUM(T4:T12)</f>
        <v>247.4489265232975</v>
      </c>
      <c r="U13" s="172"/>
    </row>
    <row r="14" spans="2:23" ht="18.75" x14ac:dyDescent="0.3">
      <c r="B14" s="26" t="s">
        <v>16</v>
      </c>
      <c r="C14" s="122"/>
      <c r="D14" s="122"/>
      <c r="E14" s="122"/>
      <c r="F14" s="122"/>
      <c r="G14" s="122"/>
      <c r="H14" s="122"/>
      <c r="I14" s="122"/>
      <c r="J14" s="122"/>
      <c r="K14" s="101" t="s">
        <v>17</v>
      </c>
      <c r="L14" s="123" t="s">
        <v>18</v>
      </c>
      <c r="M14" s="124"/>
      <c r="N14" s="27" t="s">
        <v>19</v>
      </c>
      <c r="O14" s="28"/>
      <c r="R14" t="s">
        <v>109</v>
      </c>
      <c r="S14" s="59">
        <f>K8</f>
        <v>0</v>
      </c>
      <c r="T14" s="59">
        <f>S14/1000</f>
        <v>0</v>
      </c>
      <c r="U14" s="172"/>
      <c r="V14"/>
    </row>
    <row r="15" spans="2:23" x14ac:dyDescent="0.25">
      <c r="B15" s="19" t="s">
        <v>20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125">
        <f>K15/(1-N15)</f>
        <v>0</v>
      </c>
      <c r="M15" s="126">
        <f>J15-L15</f>
        <v>0</v>
      </c>
      <c r="N15" s="29">
        <v>0.03</v>
      </c>
      <c r="P15" s="30"/>
      <c r="R15" t="s">
        <v>110</v>
      </c>
      <c r="S15" s="59">
        <f>K9</f>
        <v>0</v>
      </c>
      <c r="T15" s="59">
        <f t="shared" ref="T15:T16" si="2">S15/1000</f>
        <v>0</v>
      </c>
      <c r="U15" s="172"/>
      <c r="V15"/>
    </row>
    <row r="16" spans="2:23" x14ac:dyDescent="0.25">
      <c r="B16" s="19" t="s">
        <v>21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125">
        <f>K16/(1-N16)</f>
        <v>0</v>
      </c>
      <c r="M16" s="126">
        <f>J16-L16</f>
        <v>0</v>
      </c>
      <c r="N16" s="29">
        <v>0.03</v>
      </c>
      <c r="P16" s="30"/>
      <c r="R16" t="s">
        <v>111</v>
      </c>
      <c r="S16" s="59">
        <f>K6+K7</f>
        <v>0</v>
      </c>
      <c r="T16" s="59">
        <f t="shared" si="2"/>
        <v>0</v>
      </c>
      <c r="U16" s="172"/>
      <c r="V16" s="6"/>
    </row>
    <row r="17" spans="2:23" x14ac:dyDescent="0.25">
      <c r="B17" s="19" t="s">
        <v>22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125">
        <f>K17/(1-N17)</f>
        <v>0</v>
      </c>
      <c r="M17" s="126">
        <f>J17-L17</f>
        <v>0</v>
      </c>
      <c r="N17" s="29">
        <v>0.03</v>
      </c>
      <c r="P17" s="30"/>
      <c r="R17" t="s">
        <v>112</v>
      </c>
      <c r="S17" s="59">
        <f>SUM(S13:S16)</f>
        <v>247448.9265232975</v>
      </c>
      <c r="T17" s="59">
        <f>SUM(T13:T16)</f>
        <v>247.4489265232975</v>
      </c>
      <c r="U17" s="172"/>
      <c r="V17" s="6"/>
      <c r="W17" s="6"/>
    </row>
    <row r="18" spans="2:23" x14ac:dyDescent="0.25">
      <c r="B18" s="19" t="s">
        <v>23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134214</v>
      </c>
      <c r="L18" s="125">
        <f>K18/(1-N18)</f>
        <v>135296.37096774194</v>
      </c>
      <c r="M18" s="126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125">
        <f>K19/(1-N19)</f>
        <v>0</v>
      </c>
      <c r="M19" s="126"/>
      <c r="N19" s="1">
        <v>0</v>
      </c>
      <c r="P19" s="30"/>
      <c r="R19" s="19" t="s">
        <v>113</v>
      </c>
      <c r="S19" s="21">
        <f>IF(K28&lt;0,0,K28)</f>
        <v>29103</v>
      </c>
      <c r="T19" s="171">
        <f t="shared" ref="T19:T25" si="3">S19/1000</f>
        <v>29.103000000000002</v>
      </c>
      <c r="U19"/>
      <c r="V19" s="6"/>
    </row>
    <row r="20" spans="2:23" x14ac:dyDescent="0.25">
      <c r="B20" s="19" t="s">
        <v>14</v>
      </c>
      <c r="C20" s="73">
        <f t="shared" ref="C20:J20" si="4">SUM(C15:C19)</f>
        <v>0</v>
      </c>
      <c r="D20" s="73">
        <f t="shared" si="4"/>
        <v>0</v>
      </c>
      <c r="E20" s="73">
        <f t="shared" si="4"/>
        <v>0</v>
      </c>
      <c r="F20" s="73">
        <f t="shared" si="4"/>
        <v>0</v>
      </c>
      <c r="G20" s="73">
        <f t="shared" ref="G20" si="5">SUM(G15:G19)</f>
        <v>0</v>
      </c>
      <c r="H20" s="73">
        <f t="shared" si="4"/>
        <v>0</v>
      </c>
      <c r="I20" s="73">
        <f t="shared" si="4"/>
        <v>0</v>
      </c>
      <c r="J20" s="73">
        <f t="shared" si="4"/>
        <v>0</v>
      </c>
      <c r="K20" s="73">
        <f>SUM(K15:K19)</f>
        <v>134214</v>
      </c>
      <c r="L20" s="86">
        <f>SUM(L15:L19)</f>
        <v>135296.37096774194</v>
      </c>
      <c r="M20" s="86">
        <f>SUM(M15:M19)</f>
        <v>0</v>
      </c>
      <c r="N20" s="32"/>
      <c r="O20" s="33"/>
      <c r="P20" s="30"/>
      <c r="R20" s="19" t="s">
        <v>35</v>
      </c>
      <c r="S20" s="174">
        <f>L32</f>
        <v>3802</v>
      </c>
      <c r="T20" s="171">
        <f t="shared" si="3"/>
        <v>3.802</v>
      </c>
      <c r="U20"/>
      <c r="V20" s="6"/>
    </row>
    <row r="21" spans="2:23" x14ac:dyDescent="0.25">
      <c r="B21" s="24"/>
      <c r="C21" s="73"/>
      <c r="D21" s="73"/>
      <c r="E21" s="73"/>
      <c r="F21" s="73"/>
      <c r="G21" s="73"/>
      <c r="H21" s="73"/>
      <c r="I21" s="73"/>
      <c r="J21" s="73"/>
      <c r="K21" s="73"/>
      <c r="L21" s="70"/>
      <c r="M21" s="121"/>
      <c r="N21" s="30"/>
      <c r="R21" s="19" t="s">
        <v>36</v>
      </c>
      <c r="S21" s="174">
        <f>L33</f>
        <v>23810.555555555555</v>
      </c>
      <c r="T21" s="171">
        <f t="shared" si="3"/>
        <v>23.810555555555556</v>
      </c>
      <c r="U21" s="172"/>
    </row>
    <row r="22" spans="2:23" x14ac:dyDescent="0.25">
      <c r="B22" s="2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121"/>
      <c r="R22" s="19" t="s">
        <v>37</v>
      </c>
      <c r="S22" s="174">
        <f>L34</f>
        <v>20636</v>
      </c>
      <c r="T22" s="171">
        <f t="shared" si="3"/>
        <v>20.635999999999999</v>
      </c>
      <c r="U22" s="172"/>
    </row>
    <row r="23" spans="2:23" ht="15.75" thickBot="1" x14ac:dyDescent="0.3">
      <c r="B23" s="35" t="s">
        <v>25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27"/>
      <c r="R23" s="19" t="s">
        <v>38</v>
      </c>
      <c r="S23" s="174">
        <f>L35</f>
        <v>58838</v>
      </c>
      <c r="T23" s="171">
        <f t="shared" si="3"/>
        <v>58.838000000000001</v>
      </c>
      <c r="U23" s="172"/>
    </row>
    <row r="24" spans="2:23" x14ac:dyDescent="0.25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R24" s="19" t="s">
        <v>39</v>
      </c>
      <c r="S24" s="174">
        <f>L36</f>
        <v>13423</v>
      </c>
      <c r="T24" s="171">
        <f t="shared" si="3"/>
        <v>13.423</v>
      </c>
      <c r="U24" s="172"/>
    </row>
    <row r="25" spans="2:23" ht="15.75" thickBot="1" x14ac:dyDescent="0.3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R25" s="19" t="s">
        <v>44</v>
      </c>
      <c r="S25" s="174">
        <f>L41</f>
        <v>81498</v>
      </c>
      <c r="T25" s="171">
        <f t="shared" si="3"/>
        <v>81.498000000000005</v>
      </c>
      <c r="U25" s="172"/>
    </row>
    <row r="26" spans="2:23" ht="15.75" thickBot="1" x14ac:dyDescent="0.3">
      <c r="B26" s="8"/>
      <c r="C26" s="90"/>
      <c r="D26" s="90"/>
      <c r="E26" s="90"/>
      <c r="F26" s="90"/>
      <c r="G26" s="90"/>
      <c r="H26" s="90"/>
      <c r="I26" s="70"/>
      <c r="J26" s="91" t="s">
        <v>26</v>
      </c>
      <c r="K26" s="92" t="s">
        <v>27</v>
      </c>
      <c r="L26" s="70"/>
      <c r="M26" s="70"/>
      <c r="N26" s="38" t="s">
        <v>28</v>
      </c>
      <c r="R26" s="19" t="s">
        <v>114</v>
      </c>
      <c r="S26" s="60">
        <f>SUM(S20:S25)</f>
        <v>202007.55555555556</v>
      </c>
      <c r="T26" s="60">
        <f>SUM(T20:T25)</f>
        <v>202.00755555555554</v>
      </c>
      <c r="U26" s="172"/>
    </row>
    <row r="27" spans="2:23" x14ac:dyDescent="0.25">
      <c r="B27" s="39" t="s">
        <v>29</v>
      </c>
      <c r="C27" s="73"/>
      <c r="D27" s="73"/>
      <c r="E27" s="73"/>
      <c r="F27" s="73"/>
      <c r="G27" s="73"/>
      <c r="H27" s="73"/>
      <c r="I27" s="70"/>
      <c r="J27" s="69">
        <f>K10-J40</f>
        <v>900</v>
      </c>
      <c r="K27" s="134">
        <f>K40*8%</f>
        <v>7786</v>
      </c>
      <c r="L27" s="70"/>
      <c r="M27" s="70"/>
      <c r="N27" s="40">
        <f>100-(J40/K10*100)</f>
        <v>4.0540540540540633</v>
      </c>
      <c r="R27" s="175" t="s">
        <v>115</v>
      </c>
      <c r="S27" s="176"/>
      <c r="T27" s="177">
        <f t="shared" ref="T27:T34" si="6">S27/1000</f>
        <v>0</v>
      </c>
      <c r="U27" s="172"/>
    </row>
    <row r="28" spans="2:23" ht="15.75" thickBot="1" x14ac:dyDescent="0.3">
      <c r="B28" s="35" t="s">
        <v>30</v>
      </c>
      <c r="C28" s="93"/>
      <c r="D28" s="93"/>
      <c r="E28" s="93"/>
      <c r="F28" s="93"/>
      <c r="G28" s="93"/>
      <c r="H28" s="93"/>
      <c r="I28" s="93"/>
      <c r="J28" s="94">
        <f>J40+J27-K10</f>
        <v>0</v>
      </c>
      <c r="K28" s="95">
        <f>K20-K27-K40</f>
        <v>29103</v>
      </c>
      <c r="L28" s="70"/>
      <c r="M28" s="70"/>
      <c r="N28" s="1" t="str">
        <f>IF(N27&gt;10,"OBS! HÖGA FÖRLUSTER","OK")</f>
        <v>OK</v>
      </c>
      <c r="R28" s="51" t="s">
        <v>116</v>
      </c>
      <c r="S28" s="52">
        <f>K27</f>
        <v>7786</v>
      </c>
      <c r="T28" s="178">
        <f t="shared" si="6"/>
        <v>7.7859999999999996</v>
      </c>
      <c r="U28" s="172"/>
    </row>
    <row r="29" spans="2:23" ht="15.75" thickBot="1" x14ac:dyDescent="0.3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R29" s="51" t="s">
        <v>117</v>
      </c>
      <c r="S29" s="52">
        <f>J27</f>
        <v>900</v>
      </c>
      <c r="T29" s="178">
        <f t="shared" si="6"/>
        <v>0.9</v>
      </c>
      <c r="U29" s="50"/>
    </row>
    <row r="30" spans="2:23" ht="15.75" thickBot="1" x14ac:dyDescent="0.3">
      <c r="B30" s="8"/>
      <c r="C30" s="96" t="s">
        <v>0</v>
      </c>
      <c r="D30" s="96"/>
      <c r="E30" s="96"/>
      <c r="F30" s="96" t="s">
        <v>1</v>
      </c>
      <c r="G30" s="96"/>
      <c r="H30" s="96"/>
      <c r="I30" s="90"/>
      <c r="J30" s="90"/>
      <c r="K30" s="90"/>
      <c r="L30" s="97"/>
      <c r="M30" s="70"/>
      <c r="R30" s="51" t="s">
        <v>118</v>
      </c>
      <c r="S30" s="52">
        <f>L20-K20</f>
        <v>1082.3709677419392</v>
      </c>
      <c r="T30" s="178">
        <f t="shared" si="6"/>
        <v>1.0823709677419393</v>
      </c>
      <c r="U30" s="55"/>
    </row>
    <row r="31" spans="2:23" ht="30" x14ac:dyDescent="0.25">
      <c r="B31" s="41" t="s">
        <v>31</v>
      </c>
      <c r="C31" s="201" t="s">
        <v>61</v>
      </c>
      <c r="D31" s="201" t="s">
        <v>56</v>
      </c>
      <c r="E31" s="201" t="s">
        <v>59</v>
      </c>
      <c r="F31" s="202" t="s">
        <v>60</v>
      </c>
      <c r="G31" s="202" t="s">
        <v>58</v>
      </c>
      <c r="H31" s="202" t="s">
        <v>104</v>
      </c>
      <c r="I31" s="202" t="s">
        <v>25</v>
      </c>
      <c r="J31" s="98" t="s">
        <v>32</v>
      </c>
      <c r="K31" s="98" t="s">
        <v>33</v>
      </c>
      <c r="L31" s="99" t="s">
        <v>34</v>
      </c>
      <c r="M31" s="70"/>
      <c r="R31" s="51" t="s">
        <v>119</v>
      </c>
      <c r="S31" s="52">
        <f>M4</f>
        <v>0</v>
      </c>
      <c r="T31" s="178">
        <f t="shared" si="6"/>
        <v>0</v>
      </c>
      <c r="U31" s="55"/>
    </row>
    <row r="32" spans="2:23" x14ac:dyDescent="0.25">
      <c r="B32" s="19" t="s">
        <v>35</v>
      </c>
      <c r="C32" s="73">
        <v>1019</v>
      </c>
      <c r="D32" s="73">
        <v>0</v>
      </c>
      <c r="E32" s="73">
        <v>0</v>
      </c>
      <c r="F32" s="73">
        <v>108</v>
      </c>
      <c r="G32" s="73"/>
      <c r="H32" s="73">
        <v>0</v>
      </c>
      <c r="I32" s="73">
        <v>0</v>
      </c>
      <c r="J32" s="73">
        <v>0</v>
      </c>
      <c r="K32" s="73">
        <v>2675</v>
      </c>
      <c r="L32" s="71">
        <f>SUM(C32:K32)</f>
        <v>3802</v>
      </c>
      <c r="M32" s="70"/>
      <c r="R32" s="51" t="s">
        <v>120</v>
      </c>
      <c r="S32" s="52">
        <f>M5</f>
        <v>6570</v>
      </c>
      <c r="T32" s="178">
        <f t="shared" si="6"/>
        <v>6.57</v>
      </c>
      <c r="U32"/>
    </row>
    <row r="33" spans="2:40" x14ac:dyDescent="0.25">
      <c r="B33" s="19" t="s">
        <v>36</v>
      </c>
      <c r="C33" s="73">
        <v>917</v>
      </c>
      <c r="D33" s="73">
        <v>0</v>
      </c>
      <c r="E33" s="203">
        <v>3243.5555555555557</v>
      </c>
      <c r="F33" s="203">
        <v>100</v>
      </c>
      <c r="G33" s="203"/>
      <c r="H33" s="203">
        <v>0</v>
      </c>
      <c r="I33" s="73">
        <v>0</v>
      </c>
      <c r="J33" s="73">
        <v>0</v>
      </c>
      <c r="K33" s="73">
        <v>19550</v>
      </c>
      <c r="L33" s="71">
        <f t="shared" ref="L33:L40" si="7">SUM(C33:K33)</f>
        <v>23810.555555555555</v>
      </c>
      <c r="M33" s="70"/>
      <c r="R33" s="51" t="s">
        <v>121</v>
      </c>
      <c r="S33" s="52">
        <f>M15</f>
        <v>0</v>
      </c>
      <c r="T33" s="178">
        <f t="shared" si="6"/>
        <v>0</v>
      </c>
      <c r="U33" s="55"/>
    </row>
    <row r="34" spans="2:40" ht="15.75" thickBot="1" x14ac:dyDescent="0.3">
      <c r="B34" s="19" t="s">
        <v>37</v>
      </c>
      <c r="C34" s="73">
        <v>1671</v>
      </c>
      <c r="D34" s="73">
        <v>0</v>
      </c>
      <c r="E34" s="73">
        <v>0</v>
      </c>
      <c r="F34" s="73">
        <v>0</v>
      </c>
      <c r="G34" s="73"/>
      <c r="H34" s="73">
        <v>0</v>
      </c>
      <c r="I34" s="73">
        <v>0</v>
      </c>
      <c r="J34" s="73">
        <v>9750</v>
      </c>
      <c r="K34" s="73">
        <v>9215</v>
      </c>
      <c r="L34" s="71">
        <f t="shared" si="7"/>
        <v>20636</v>
      </c>
      <c r="M34" s="70"/>
      <c r="R34" s="56" t="s">
        <v>122</v>
      </c>
      <c r="S34" s="179">
        <f>M16</f>
        <v>0</v>
      </c>
      <c r="T34" s="180">
        <f t="shared" si="6"/>
        <v>0</v>
      </c>
      <c r="U34" s="55"/>
    </row>
    <row r="35" spans="2:40" x14ac:dyDescent="0.25">
      <c r="B35" s="19" t="s">
        <v>38</v>
      </c>
      <c r="C35" s="73">
        <v>54423</v>
      </c>
      <c r="D35" s="73">
        <v>0</v>
      </c>
      <c r="E35" s="73">
        <v>0</v>
      </c>
      <c r="F35" s="73">
        <v>4403</v>
      </c>
      <c r="G35" s="73"/>
      <c r="H35" s="73">
        <v>0</v>
      </c>
      <c r="I35" s="73">
        <v>0</v>
      </c>
      <c r="J35" s="73">
        <v>0</v>
      </c>
      <c r="K35" s="73">
        <v>12</v>
      </c>
      <c r="L35" s="71">
        <f t="shared" si="7"/>
        <v>58838</v>
      </c>
      <c r="M35" s="70"/>
      <c r="R35" s="173" t="s">
        <v>123</v>
      </c>
      <c r="S35" s="181">
        <f>SUM(S28:S34)</f>
        <v>16338.370967741939</v>
      </c>
      <c r="T35" s="182">
        <f>SUM(T28:T34)</f>
        <v>16.338370967741938</v>
      </c>
      <c r="U35" s="55"/>
    </row>
    <row r="36" spans="2:40" x14ac:dyDescent="0.25">
      <c r="B36" s="19" t="s">
        <v>39</v>
      </c>
      <c r="C36" s="73">
        <v>813</v>
      </c>
      <c r="D36" s="73">
        <v>0</v>
      </c>
      <c r="E36" s="73">
        <v>0</v>
      </c>
      <c r="F36" s="73">
        <v>0</v>
      </c>
      <c r="G36" s="73"/>
      <c r="H36" s="73">
        <v>0</v>
      </c>
      <c r="I36" s="73">
        <v>0</v>
      </c>
      <c r="J36" s="73">
        <v>120</v>
      </c>
      <c r="K36" s="73">
        <v>12490</v>
      </c>
      <c r="L36" s="71">
        <f t="shared" si="7"/>
        <v>13423</v>
      </c>
      <c r="M36" s="70"/>
      <c r="R36" s="173" t="s">
        <v>124</v>
      </c>
      <c r="S36"/>
      <c r="T36" s="60">
        <f>T26+T35+T19</f>
        <v>247.44892652329747</v>
      </c>
    </row>
    <row r="37" spans="2:40" x14ac:dyDescent="0.25">
      <c r="B37" s="19" t="s">
        <v>40</v>
      </c>
      <c r="C37" s="73">
        <v>1502</v>
      </c>
      <c r="D37" s="73">
        <v>0</v>
      </c>
      <c r="E37" s="73">
        <v>0</v>
      </c>
      <c r="F37" s="73">
        <v>0</v>
      </c>
      <c r="G37" s="73"/>
      <c r="H37" s="73">
        <v>15183</v>
      </c>
      <c r="I37" s="73">
        <v>0</v>
      </c>
      <c r="J37" s="73">
        <v>360</v>
      </c>
      <c r="K37" s="73">
        <v>49070</v>
      </c>
      <c r="L37" s="71">
        <f t="shared" si="7"/>
        <v>66115</v>
      </c>
      <c r="M37" s="70"/>
      <c r="R37" s="1" t="s">
        <v>125</v>
      </c>
      <c r="S37"/>
      <c r="T37" s="183">
        <f>T17-T36</f>
        <v>0</v>
      </c>
      <c r="U37"/>
    </row>
    <row r="38" spans="2:40" x14ac:dyDescent="0.25">
      <c r="B38" s="19" t="s">
        <v>41</v>
      </c>
      <c r="C38" s="73">
        <v>0</v>
      </c>
      <c r="D38" s="73">
        <v>0</v>
      </c>
      <c r="E38" s="73">
        <v>0</v>
      </c>
      <c r="F38" s="73">
        <v>0</v>
      </c>
      <c r="G38" s="73"/>
      <c r="H38" s="73">
        <v>0</v>
      </c>
      <c r="I38" s="73">
        <v>0</v>
      </c>
      <c r="J38" s="73">
        <v>11070</v>
      </c>
      <c r="K38" s="73">
        <v>2669</v>
      </c>
      <c r="L38" s="71">
        <f t="shared" si="7"/>
        <v>13739</v>
      </c>
      <c r="M38" s="100"/>
      <c r="O38" s="6"/>
      <c r="P38" s="6"/>
      <c r="Q38" s="6"/>
      <c r="R38" s="173" t="s">
        <v>124</v>
      </c>
      <c r="S38"/>
      <c r="T38" s="60">
        <f>T28+T37+T21</f>
        <v>31.596555555555554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73">
        <v>0</v>
      </c>
      <c r="D39" s="73">
        <v>0</v>
      </c>
      <c r="E39" s="73">
        <v>0</v>
      </c>
      <c r="F39" s="73">
        <v>0</v>
      </c>
      <c r="G39" s="73"/>
      <c r="H39" s="73">
        <v>0</v>
      </c>
      <c r="I39" s="73">
        <v>0</v>
      </c>
      <c r="J39" s="73">
        <v>0</v>
      </c>
      <c r="K39" s="73">
        <v>1644</v>
      </c>
      <c r="L39" s="71">
        <f t="shared" si="7"/>
        <v>1644</v>
      </c>
      <c r="M39" s="70"/>
      <c r="S39" s="172"/>
      <c r="T39" s="184"/>
      <c r="U39" s="172"/>
    </row>
    <row r="40" spans="2:40" x14ac:dyDescent="0.25">
      <c r="B40" s="19" t="s">
        <v>43</v>
      </c>
      <c r="C40" s="69">
        <f>SUM(C32:C39)</f>
        <v>60345</v>
      </c>
      <c r="D40" s="69">
        <f t="shared" ref="D40:K40" si="8">SUM(D32:D39)</f>
        <v>0</v>
      </c>
      <c r="E40" s="130">
        <f t="shared" si="8"/>
        <v>3243.5555555555557</v>
      </c>
      <c r="F40" s="130">
        <f t="shared" si="8"/>
        <v>4611</v>
      </c>
      <c r="G40" s="130">
        <f t="shared" ref="G40" si="9">SUM(G32:G39)</f>
        <v>0</v>
      </c>
      <c r="H40" s="130">
        <f t="shared" si="8"/>
        <v>15183</v>
      </c>
      <c r="I40" s="69">
        <f t="shared" si="8"/>
        <v>0</v>
      </c>
      <c r="J40" s="69">
        <f t="shared" si="8"/>
        <v>21300</v>
      </c>
      <c r="K40" s="69">
        <f t="shared" si="8"/>
        <v>97325</v>
      </c>
      <c r="L40" s="71">
        <f t="shared" si="7"/>
        <v>202007.55555555556</v>
      </c>
      <c r="M40" s="70"/>
    </row>
    <row r="41" spans="2:40" x14ac:dyDescent="0.25">
      <c r="B41" s="19" t="s">
        <v>44</v>
      </c>
      <c r="C41" s="69">
        <f>SUM(C37:C39)</f>
        <v>1502</v>
      </c>
      <c r="D41" s="69">
        <f t="shared" ref="D41:L41" si="10">SUM(D37:D39)</f>
        <v>0</v>
      </c>
      <c r="E41" s="69">
        <f t="shared" si="10"/>
        <v>0</v>
      </c>
      <c r="F41" s="69">
        <f t="shared" si="10"/>
        <v>0</v>
      </c>
      <c r="G41" s="69">
        <f t="shared" ref="G41" si="11">SUM(G37:G39)</f>
        <v>0</v>
      </c>
      <c r="H41" s="69">
        <f t="shared" si="10"/>
        <v>15183</v>
      </c>
      <c r="I41" s="69">
        <f t="shared" si="10"/>
        <v>0</v>
      </c>
      <c r="J41" s="69">
        <f t="shared" si="10"/>
        <v>11430</v>
      </c>
      <c r="K41" s="69">
        <f t="shared" si="10"/>
        <v>53383</v>
      </c>
      <c r="L41" s="69">
        <f t="shared" si="10"/>
        <v>81498</v>
      </c>
      <c r="M41" s="70"/>
    </row>
    <row r="42" spans="2:40" x14ac:dyDescent="0.25">
      <c r="B42" s="24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7"/>
    </row>
    <row r="43" spans="2:40" ht="15.75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6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3"/>
  <sheetViews>
    <sheetView zoomScale="60" zoomScaleNormal="60" workbookViewId="0">
      <selection activeCell="M33" sqref="M33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2.42578125" style="1" bestFit="1" customWidth="1"/>
    <col min="4" max="4" width="9.28515625" style="1" bestFit="1" customWidth="1"/>
    <col min="5" max="5" width="12.5703125" style="1" bestFit="1" customWidth="1"/>
    <col min="6" max="6" width="14.85546875" style="1" bestFit="1" customWidth="1"/>
    <col min="7" max="7" width="14.85546875" style="1" customWidth="1"/>
    <col min="8" max="8" width="14.85546875" style="1" bestFit="1" customWidth="1"/>
    <col min="9" max="9" width="9.2851562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9" style="1" bestFit="1" customWidth="1"/>
    <col min="19" max="19" width="14.7109375" style="1" bestFit="1" customWidth="1"/>
    <col min="20" max="20" width="10.5703125" style="1" bestFit="1" customWidth="1"/>
    <col min="21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70">
        <v>0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  <c r="J4" s="70">
        <v>0</v>
      </c>
      <c r="K4" s="73">
        <v>0</v>
      </c>
      <c r="L4" s="167">
        <f>K4/(K4+K5)</f>
        <v>0</v>
      </c>
      <c r="M4" s="71">
        <f>J4-K4</f>
        <v>0</v>
      </c>
      <c r="N4" s="1"/>
      <c r="O4" s="6"/>
      <c r="P4" s="6"/>
      <c r="Q4" s="6"/>
      <c r="R4" s="51" t="s">
        <v>105</v>
      </c>
      <c r="S4" s="21">
        <f>L20</f>
        <v>384985.56701030931</v>
      </c>
      <c r="T4" s="171">
        <f>S4/1000</f>
        <v>384.9855670103093</v>
      </c>
      <c r="U4" s="172"/>
      <c r="W4" s="1"/>
    </row>
    <row r="5" spans="2:23" s="7" customFormat="1" x14ac:dyDescent="0.25">
      <c r="B5" s="19" t="s">
        <v>9</v>
      </c>
      <c r="C5" s="70">
        <v>1900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1900</v>
      </c>
      <c r="K5" s="73">
        <v>1709</v>
      </c>
      <c r="L5" s="167">
        <f>K5/(K4+K5)</f>
        <v>1</v>
      </c>
      <c r="M5" s="71">
        <f>J5-K5</f>
        <v>191</v>
      </c>
      <c r="N5" s="1"/>
      <c r="O5" s="6"/>
      <c r="P5" s="6"/>
      <c r="Q5" s="6"/>
      <c r="R5" s="7" t="s">
        <v>106</v>
      </c>
      <c r="S5" s="21">
        <f>IF(K28&gt;0,0,K28)*-1</f>
        <v>138251.79999999999</v>
      </c>
      <c r="T5" s="171">
        <f>S5/1000</f>
        <v>138.25179999999997</v>
      </c>
      <c r="W5" s="1"/>
    </row>
    <row r="6" spans="2:23" s="7" customFormat="1" x14ac:dyDescent="0.25">
      <c r="B6" s="19" t="s">
        <v>10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3">
        <v>0</v>
      </c>
      <c r="L6" s="119"/>
      <c r="M6" s="71"/>
      <c r="N6" s="1"/>
      <c r="O6" s="6"/>
      <c r="P6" s="6"/>
      <c r="Q6" s="6"/>
      <c r="R6" s="51" t="s">
        <v>104</v>
      </c>
      <c r="S6" s="171">
        <f>H10+H20+H40</f>
        <v>828718</v>
      </c>
      <c r="T6" s="171">
        <f>S6/1000</f>
        <v>828.71799999999996</v>
      </c>
      <c r="U6" s="172"/>
      <c r="W6" s="1"/>
    </row>
    <row r="7" spans="2:23" s="7" customFormat="1" x14ac:dyDescent="0.25">
      <c r="B7" s="19" t="s">
        <v>11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3">
        <v>0</v>
      </c>
      <c r="L7" s="119"/>
      <c r="M7" s="71"/>
      <c r="N7" s="1"/>
      <c r="O7" s="6"/>
      <c r="P7" s="6"/>
      <c r="Q7" s="6"/>
      <c r="R7" s="51" t="s">
        <v>56</v>
      </c>
      <c r="S7" s="171">
        <f>D10+D20+D40</f>
        <v>0</v>
      </c>
      <c r="T7" s="171">
        <f>S7/1000</f>
        <v>0</v>
      </c>
      <c r="U7" s="172"/>
      <c r="V7" s="6"/>
      <c r="W7" s="1"/>
    </row>
    <row r="8" spans="2:23" s="7" customFormat="1" x14ac:dyDescent="0.25">
      <c r="B8" s="19" t="s">
        <v>12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3">
        <v>26208</v>
      </c>
      <c r="L8" s="119"/>
      <c r="M8" s="71"/>
      <c r="N8" s="1"/>
      <c r="O8" s="6"/>
      <c r="P8" s="6"/>
      <c r="Q8" s="6"/>
      <c r="R8" s="51" t="s">
        <v>58</v>
      </c>
      <c r="S8" s="171">
        <f>G10+G20+G40</f>
        <v>2682000</v>
      </c>
      <c r="T8" s="171">
        <f t="shared" ref="T8:T12" si="0">S8/1000</f>
        <v>2682</v>
      </c>
      <c r="U8" s="172"/>
      <c r="V8" s="6"/>
      <c r="W8" s="1"/>
    </row>
    <row r="9" spans="2:23" s="7" customFormat="1" x14ac:dyDescent="0.25">
      <c r="B9" s="19" t="s">
        <v>13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3">
        <v>0</v>
      </c>
      <c r="L9" s="119"/>
      <c r="M9" s="71"/>
      <c r="N9" s="1"/>
      <c r="O9" s="6"/>
      <c r="P9" s="6"/>
      <c r="Q9" s="6"/>
      <c r="R9" s="51" t="s">
        <v>59</v>
      </c>
      <c r="S9" s="171">
        <f>E10+E20+E40</f>
        <v>49819.95</v>
      </c>
      <c r="T9" s="171">
        <f t="shared" si="0"/>
        <v>49.819949999999999</v>
      </c>
      <c r="U9" s="172"/>
      <c r="V9" s="6"/>
      <c r="W9" s="1"/>
    </row>
    <row r="10" spans="2:23" s="7" customFormat="1" x14ac:dyDescent="0.25">
      <c r="B10" s="19" t="s">
        <v>14</v>
      </c>
      <c r="C10" s="73">
        <f t="shared" ref="C10:K10" si="1">SUM(C4:C9)</f>
        <v>1900</v>
      </c>
      <c r="D10" s="73">
        <f t="shared" si="1"/>
        <v>0</v>
      </c>
      <c r="E10" s="73">
        <f t="shared" si="1"/>
        <v>0</v>
      </c>
      <c r="F10" s="73">
        <f t="shared" si="1"/>
        <v>0</v>
      </c>
      <c r="G10" s="73">
        <f t="shared" ref="G10" si="2">SUM(G4:G9)</f>
        <v>0</v>
      </c>
      <c r="H10" s="73">
        <f t="shared" si="1"/>
        <v>0</v>
      </c>
      <c r="I10" s="73">
        <f t="shared" si="1"/>
        <v>0</v>
      </c>
      <c r="J10" s="73">
        <f t="shared" si="1"/>
        <v>1900</v>
      </c>
      <c r="K10" s="73">
        <f t="shared" si="1"/>
        <v>27917</v>
      </c>
      <c r="L10" s="119"/>
      <c r="M10" s="71">
        <f>SUM(M4:M9)</f>
        <v>191</v>
      </c>
      <c r="N10" s="1"/>
      <c r="O10" s="6"/>
      <c r="P10" s="6"/>
      <c r="Q10" s="6"/>
      <c r="R10" s="51" t="s">
        <v>25</v>
      </c>
      <c r="S10" s="171">
        <f>I10+I20+I40</f>
        <v>0</v>
      </c>
      <c r="T10" s="171">
        <f t="shared" si="0"/>
        <v>0</v>
      </c>
      <c r="U10" s="172"/>
      <c r="V10" s="6"/>
      <c r="W10" s="1"/>
    </row>
    <row r="11" spans="2:23" s="7" customFormat="1" x14ac:dyDescent="0.25">
      <c r="B11" s="22"/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120"/>
      <c r="N11" s="1"/>
      <c r="O11" s="6"/>
      <c r="P11" s="6"/>
      <c r="Q11" s="6"/>
      <c r="R11" s="51" t="s">
        <v>60</v>
      </c>
      <c r="S11" s="171">
        <f>F10+F20+F40</f>
        <v>182231</v>
      </c>
      <c r="T11" s="171">
        <f t="shared" si="0"/>
        <v>182.23099999999999</v>
      </c>
      <c r="U11" s="172"/>
      <c r="V11" s="6"/>
      <c r="W11" s="1"/>
    </row>
    <row r="12" spans="2:23" s="7" customFormat="1" x14ac:dyDescent="0.25">
      <c r="B12" s="23" t="s">
        <v>15</v>
      </c>
      <c r="C12" s="75"/>
      <c r="D12" s="75"/>
      <c r="E12" s="75"/>
      <c r="F12" s="75"/>
      <c r="G12" s="75"/>
      <c r="H12" s="75"/>
      <c r="I12" s="75"/>
      <c r="J12" s="119"/>
      <c r="K12" s="119"/>
      <c r="L12" s="76"/>
      <c r="M12" s="120"/>
      <c r="N12" s="1"/>
      <c r="O12" s="6"/>
      <c r="P12" s="6"/>
      <c r="Q12" s="6"/>
      <c r="R12" s="51" t="s">
        <v>61</v>
      </c>
      <c r="S12" s="171">
        <f>C10+C20+C40</f>
        <v>262370.05</v>
      </c>
      <c r="T12" s="171">
        <f t="shared" si="0"/>
        <v>262.37004999999999</v>
      </c>
      <c r="U12" s="172"/>
      <c r="V12" s="6"/>
      <c r="W12" s="1"/>
    </row>
    <row r="13" spans="2:23" x14ac:dyDescent="0.25">
      <c r="B13" s="2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21"/>
      <c r="N13" s="6"/>
      <c r="R13" s="173" t="s">
        <v>108</v>
      </c>
      <c r="S13" s="171">
        <f>SUM(S4:S12)</f>
        <v>4528376.3670103094</v>
      </c>
      <c r="T13" s="171">
        <f>SUM(T4:T12)</f>
        <v>4528.376367010309</v>
      </c>
      <c r="U13" s="172"/>
    </row>
    <row r="14" spans="2:23" ht="18.75" x14ac:dyDescent="0.3">
      <c r="B14" s="26" t="s">
        <v>16</v>
      </c>
      <c r="C14" s="122"/>
      <c r="D14" s="122"/>
      <c r="E14" s="122"/>
      <c r="F14" s="122"/>
      <c r="G14" s="122"/>
      <c r="H14" s="122"/>
      <c r="I14" s="122"/>
      <c r="J14" s="122"/>
      <c r="K14" s="101" t="s">
        <v>17</v>
      </c>
      <c r="L14" s="123" t="s">
        <v>18</v>
      </c>
      <c r="M14" s="124"/>
      <c r="N14" s="27" t="s">
        <v>19</v>
      </c>
      <c r="O14" s="28"/>
      <c r="R14" t="s">
        <v>109</v>
      </c>
      <c r="S14" s="59">
        <f>K8</f>
        <v>26208</v>
      </c>
      <c r="T14" s="59">
        <f>S14/1000</f>
        <v>26.207999999999998</v>
      </c>
      <c r="U14" s="172"/>
      <c r="V14"/>
    </row>
    <row r="15" spans="2:23" x14ac:dyDescent="0.25">
      <c r="B15" s="19" t="s">
        <v>20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125">
        <f>K15/(1-N15)</f>
        <v>0</v>
      </c>
      <c r="M15" s="126">
        <f>J15-L15</f>
        <v>0</v>
      </c>
      <c r="N15" s="29">
        <v>0.03</v>
      </c>
      <c r="P15" s="30"/>
      <c r="R15" t="s">
        <v>110</v>
      </c>
      <c r="S15" s="59">
        <f>K9</f>
        <v>0</v>
      </c>
      <c r="T15" s="59">
        <f t="shared" ref="T15:T16" si="3">S15/1000</f>
        <v>0</v>
      </c>
      <c r="U15" s="172"/>
      <c r="V15"/>
    </row>
    <row r="16" spans="2:23" x14ac:dyDescent="0.25">
      <c r="B16" s="19" t="s">
        <v>21</v>
      </c>
      <c r="C16" s="73">
        <v>6849</v>
      </c>
      <c r="D16" s="73">
        <v>0</v>
      </c>
      <c r="E16" s="73">
        <v>0</v>
      </c>
      <c r="F16" s="73">
        <v>0</v>
      </c>
      <c r="G16" s="73">
        <v>0</v>
      </c>
      <c r="H16" s="73">
        <v>430845</v>
      </c>
      <c r="I16" s="73">
        <v>0</v>
      </c>
      <c r="J16" s="73">
        <v>437694</v>
      </c>
      <c r="K16" s="73">
        <v>373436</v>
      </c>
      <c r="L16" s="125">
        <f>K16/(1-N16)</f>
        <v>384985.56701030931</v>
      </c>
      <c r="M16" s="126">
        <f>J16-L16</f>
        <v>52708.432989690686</v>
      </c>
      <c r="N16" s="29">
        <v>0.03</v>
      </c>
      <c r="P16" s="30"/>
      <c r="R16" t="s">
        <v>111</v>
      </c>
      <c r="S16" s="59">
        <f>K6+K7</f>
        <v>0</v>
      </c>
      <c r="T16" s="59">
        <f t="shared" si="3"/>
        <v>0</v>
      </c>
      <c r="U16" s="172"/>
      <c r="V16" s="6"/>
    </row>
    <row r="17" spans="2:23" x14ac:dyDescent="0.25">
      <c r="B17" s="19" t="s">
        <v>22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125">
        <f>K17/(1-N17)</f>
        <v>0</v>
      </c>
      <c r="M17" s="126">
        <f>J17-L17</f>
        <v>0</v>
      </c>
      <c r="N17" s="29">
        <v>0.03</v>
      </c>
      <c r="P17" s="30"/>
      <c r="R17" t="s">
        <v>112</v>
      </c>
      <c r="S17" s="59">
        <f>SUM(S13:S16)</f>
        <v>4554584.3670103094</v>
      </c>
      <c r="T17" s="59">
        <f>SUM(T13:T16)</f>
        <v>4554.5843670103086</v>
      </c>
      <c r="U17" s="172"/>
      <c r="V17" s="6"/>
      <c r="W17" s="6"/>
    </row>
    <row r="18" spans="2:23" x14ac:dyDescent="0.25">
      <c r="B18" s="19" t="s">
        <v>23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125">
        <f>K18/(1-N18)</f>
        <v>0</v>
      </c>
      <c r="M18" s="126">
        <f t="shared" ref="M18:M20" si="4">J18-L18</f>
        <v>0</v>
      </c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125">
        <f>K19/(1-N19)</f>
        <v>0</v>
      </c>
      <c r="M19" s="126">
        <f t="shared" si="4"/>
        <v>0</v>
      </c>
      <c r="N19" s="1">
        <v>0</v>
      </c>
      <c r="P19" s="30"/>
      <c r="R19" s="19" t="s">
        <v>113</v>
      </c>
      <c r="S19" s="21">
        <f>IF(K28&lt;0,0,K28)</f>
        <v>0</v>
      </c>
      <c r="T19" s="171">
        <f t="shared" ref="T19:T25" si="5">S19/1000</f>
        <v>0</v>
      </c>
      <c r="U19"/>
      <c r="V19" s="6"/>
    </row>
    <row r="20" spans="2:23" x14ac:dyDescent="0.25">
      <c r="B20" s="19" t="s">
        <v>14</v>
      </c>
      <c r="C20" s="73">
        <f t="shared" ref="C20:J20" si="6">SUM(C15:C19)</f>
        <v>6849</v>
      </c>
      <c r="D20" s="73">
        <f t="shared" si="6"/>
        <v>0</v>
      </c>
      <c r="E20" s="73">
        <f t="shared" si="6"/>
        <v>0</v>
      </c>
      <c r="F20" s="73">
        <f t="shared" si="6"/>
        <v>0</v>
      </c>
      <c r="G20" s="73">
        <f t="shared" ref="G20" si="7">SUM(G15:G19)</f>
        <v>0</v>
      </c>
      <c r="H20" s="73">
        <f t="shared" si="6"/>
        <v>430845</v>
      </c>
      <c r="I20" s="73">
        <f t="shared" si="6"/>
        <v>0</v>
      </c>
      <c r="J20" s="73">
        <f t="shared" si="6"/>
        <v>437694</v>
      </c>
      <c r="K20" s="73">
        <f>SUM(K15:K19)</f>
        <v>373436</v>
      </c>
      <c r="L20" s="86">
        <f>SUM(L15:L19)</f>
        <v>384985.56701030931</v>
      </c>
      <c r="M20" s="86">
        <f>SUM(M15:M19)</f>
        <v>52708.432989690686</v>
      </c>
      <c r="N20" s="32"/>
      <c r="O20" s="33"/>
      <c r="P20" s="30"/>
      <c r="R20" s="19" t="s">
        <v>35</v>
      </c>
      <c r="S20" s="174">
        <f>L32</f>
        <v>7132</v>
      </c>
      <c r="T20" s="171">
        <f t="shared" si="5"/>
        <v>7.1319999999999997</v>
      </c>
      <c r="U20"/>
      <c r="V20" s="6"/>
    </row>
    <row r="21" spans="2:23" x14ac:dyDescent="0.25">
      <c r="B21" s="24"/>
      <c r="C21" s="73"/>
      <c r="D21" s="73"/>
      <c r="E21" s="73"/>
      <c r="F21" s="73"/>
      <c r="G21" s="73"/>
      <c r="H21" s="73"/>
      <c r="I21" s="73"/>
      <c r="J21" s="73"/>
      <c r="K21" s="73"/>
      <c r="L21" s="70"/>
      <c r="M21" s="121"/>
      <c r="N21" s="30"/>
      <c r="R21" s="19" t="s">
        <v>36</v>
      </c>
      <c r="S21" s="174">
        <f>L33</f>
        <v>3772716</v>
      </c>
      <c r="T21" s="171">
        <f t="shared" si="5"/>
        <v>3772.7159999999999</v>
      </c>
      <c r="U21" s="172"/>
    </row>
    <row r="22" spans="2:23" x14ac:dyDescent="0.25">
      <c r="B22" s="2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121"/>
      <c r="R22" s="19" t="s">
        <v>37</v>
      </c>
      <c r="S22" s="174">
        <f>L34</f>
        <v>11847</v>
      </c>
      <c r="T22" s="171">
        <f t="shared" si="5"/>
        <v>11.847</v>
      </c>
      <c r="U22" s="172"/>
    </row>
    <row r="23" spans="2:23" ht="15.75" thickBot="1" x14ac:dyDescent="0.3">
      <c r="B23" s="35" t="s">
        <v>25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27"/>
      <c r="R23" s="19" t="s">
        <v>38</v>
      </c>
      <c r="S23" s="174">
        <f>L35</f>
        <v>170289</v>
      </c>
      <c r="T23" s="171">
        <f t="shared" si="5"/>
        <v>170.28899999999999</v>
      </c>
      <c r="U23" s="172"/>
    </row>
    <row r="24" spans="2:23" x14ac:dyDescent="0.25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R24" s="19" t="s">
        <v>39</v>
      </c>
      <c r="S24" s="174">
        <f>L36</f>
        <v>15094</v>
      </c>
      <c r="T24" s="171">
        <f t="shared" si="5"/>
        <v>15.093999999999999</v>
      </c>
      <c r="U24" s="172"/>
    </row>
    <row r="25" spans="2:23" ht="15.75" thickBot="1" x14ac:dyDescent="0.3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R25" s="19" t="s">
        <v>44</v>
      </c>
      <c r="S25" s="174">
        <f>L41</f>
        <v>85707</v>
      </c>
      <c r="T25" s="171">
        <f t="shared" si="5"/>
        <v>85.706999999999994</v>
      </c>
      <c r="U25" s="172"/>
    </row>
    <row r="26" spans="2:23" ht="15.75" thickBot="1" x14ac:dyDescent="0.3">
      <c r="B26" s="8"/>
      <c r="C26" s="90"/>
      <c r="D26" s="90"/>
      <c r="E26" s="90"/>
      <c r="F26" s="90"/>
      <c r="G26" s="90"/>
      <c r="H26" s="90"/>
      <c r="I26" s="70"/>
      <c r="J26" s="91" t="s">
        <v>26</v>
      </c>
      <c r="K26" s="92" t="s">
        <v>27</v>
      </c>
      <c r="L26" s="70"/>
      <c r="M26" s="70"/>
      <c r="N26" s="38" t="s">
        <v>28</v>
      </c>
      <c r="R26" s="19" t="s">
        <v>114</v>
      </c>
      <c r="S26" s="60">
        <f>SUM(S20:S25)</f>
        <v>4062785</v>
      </c>
      <c r="T26" s="60">
        <f>SUM(T20:T25)</f>
        <v>4062.7850000000003</v>
      </c>
      <c r="U26" s="172"/>
    </row>
    <row r="27" spans="2:23" x14ac:dyDescent="0.25">
      <c r="B27" s="39" t="s">
        <v>29</v>
      </c>
      <c r="C27" s="73"/>
      <c r="D27" s="73"/>
      <c r="E27" s="73"/>
      <c r="F27" s="73"/>
      <c r="G27" s="73"/>
      <c r="H27" s="73"/>
      <c r="I27" s="70"/>
      <c r="J27" s="69">
        <f>K10-J40</f>
        <v>4462</v>
      </c>
      <c r="K27" s="134">
        <f>K40*8%</f>
        <v>37902.800000000003</v>
      </c>
      <c r="L27" s="70"/>
      <c r="M27" s="70"/>
      <c r="N27" s="40">
        <f>100-(J40/K10*100)</f>
        <v>15.983092739191179</v>
      </c>
      <c r="R27" s="175" t="s">
        <v>115</v>
      </c>
      <c r="S27" s="176"/>
      <c r="T27" s="177">
        <f t="shared" ref="T27:T34" si="8">S27/1000</f>
        <v>0</v>
      </c>
      <c r="U27" s="172"/>
    </row>
    <row r="28" spans="2:23" ht="15.75" thickBot="1" x14ac:dyDescent="0.3">
      <c r="B28" s="35" t="s">
        <v>30</v>
      </c>
      <c r="C28" s="93"/>
      <c r="D28" s="93"/>
      <c r="E28" s="93"/>
      <c r="F28" s="93"/>
      <c r="G28" s="93"/>
      <c r="H28" s="93"/>
      <c r="I28" s="93"/>
      <c r="J28" s="94">
        <f>J40+J27-K10</f>
        <v>0</v>
      </c>
      <c r="K28" s="95">
        <f>K20-K27-K40</f>
        <v>-138251.79999999999</v>
      </c>
      <c r="L28" s="70"/>
      <c r="M28" s="70"/>
      <c r="N28" s="1" t="str">
        <f>IF(N27&gt;10,"OBS! HÖGA FÖRLUSTER","OK")</f>
        <v>OBS! HÖGA FÖRLUSTER</v>
      </c>
      <c r="R28" s="51" t="s">
        <v>116</v>
      </c>
      <c r="S28" s="52">
        <f>K27</f>
        <v>37902.800000000003</v>
      </c>
      <c r="T28" s="178">
        <f t="shared" si="8"/>
        <v>37.902800000000006</v>
      </c>
      <c r="U28" s="172"/>
    </row>
    <row r="29" spans="2:23" ht="15.75" thickBot="1" x14ac:dyDescent="0.3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R29" s="51" t="s">
        <v>117</v>
      </c>
      <c r="S29" s="52">
        <f>J27</f>
        <v>4462</v>
      </c>
      <c r="T29" s="178">
        <f t="shared" si="8"/>
        <v>4.4619999999999997</v>
      </c>
      <c r="U29" s="50"/>
    </row>
    <row r="30" spans="2:23" ht="15.75" thickBot="1" x14ac:dyDescent="0.3">
      <c r="B30" s="8"/>
      <c r="C30" s="96" t="s">
        <v>0</v>
      </c>
      <c r="D30" s="96"/>
      <c r="E30" s="96"/>
      <c r="F30" s="96" t="s">
        <v>1</v>
      </c>
      <c r="G30" s="96"/>
      <c r="H30" s="96"/>
      <c r="I30" s="90"/>
      <c r="J30" s="90"/>
      <c r="K30" s="90"/>
      <c r="L30" s="97"/>
      <c r="M30" s="70"/>
      <c r="R30" s="51" t="s">
        <v>118</v>
      </c>
      <c r="S30" s="52">
        <f>L20-K20</f>
        <v>11549.567010309314</v>
      </c>
      <c r="T30" s="178">
        <f t="shared" si="8"/>
        <v>11.549567010309314</v>
      </c>
      <c r="U30" s="55"/>
    </row>
    <row r="31" spans="2:23" ht="30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98" t="s">
        <v>32</v>
      </c>
      <c r="K31" s="98" t="s">
        <v>33</v>
      </c>
      <c r="L31" s="99" t="s">
        <v>34</v>
      </c>
      <c r="M31" s="70"/>
      <c r="R31" s="51" t="s">
        <v>119</v>
      </c>
      <c r="S31" s="52">
        <f>M4</f>
        <v>0</v>
      </c>
      <c r="T31" s="178">
        <f t="shared" si="8"/>
        <v>0</v>
      </c>
      <c r="U31" s="55"/>
    </row>
    <row r="32" spans="2:23" x14ac:dyDescent="0.25">
      <c r="B32" s="19" t="s">
        <v>35</v>
      </c>
      <c r="C32" s="73">
        <v>1996</v>
      </c>
      <c r="D32" s="73">
        <v>0</v>
      </c>
      <c r="E32" s="73">
        <v>0</v>
      </c>
      <c r="F32" s="73">
        <v>198</v>
      </c>
      <c r="G32" s="73"/>
      <c r="H32" s="73">
        <v>0</v>
      </c>
      <c r="I32" s="73">
        <v>0</v>
      </c>
      <c r="J32" s="73">
        <v>0</v>
      </c>
      <c r="K32" s="73">
        <v>4938</v>
      </c>
      <c r="L32" s="71">
        <f>SUM(C32:K32)</f>
        <v>7132</v>
      </c>
      <c r="M32" s="70"/>
      <c r="R32" s="51" t="s">
        <v>120</v>
      </c>
      <c r="S32" s="52">
        <f>M5</f>
        <v>191</v>
      </c>
      <c r="T32" s="178">
        <f t="shared" si="8"/>
        <v>0.191</v>
      </c>
      <c r="U32"/>
    </row>
    <row r="33" spans="2:40" ht="17.25" x14ac:dyDescent="0.4">
      <c r="B33" s="19" t="s">
        <v>36</v>
      </c>
      <c r="C33" s="118">
        <v>95240.05</v>
      </c>
      <c r="D33" s="73">
        <v>0</v>
      </c>
      <c r="E33" s="118">
        <v>49819.95</v>
      </c>
      <c r="F33" s="168">
        <v>167000</v>
      </c>
      <c r="G33" s="168">
        <v>2682000</v>
      </c>
      <c r="H33" s="118">
        <v>369155</v>
      </c>
      <c r="I33" s="73">
        <v>0</v>
      </c>
      <c r="J33" s="73">
        <v>0</v>
      </c>
      <c r="K33" s="73">
        <v>409501</v>
      </c>
      <c r="L33" s="71">
        <f t="shared" ref="L33:L40" si="9">SUM(C33:K33)</f>
        <v>3772716</v>
      </c>
      <c r="M33" s="70"/>
      <c r="R33" s="51" t="s">
        <v>121</v>
      </c>
      <c r="S33" s="52">
        <f>M15</f>
        <v>0</v>
      </c>
      <c r="T33" s="178">
        <f t="shared" si="8"/>
        <v>0</v>
      </c>
      <c r="U33" s="55"/>
    </row>
    <row r="34" spans="2:40" ht="15.75" thickBot="1" x14ac:dyDescent="0.3">
      <c r="B34" s="19" t="s">
        <v>37</v>
      </c>
      <c r="C34" s="73">
        <v>109</v>
      </c>
      <c r="D34" s="73">
        <v>0</v>
      </c>
      <c r="E34" s="73">
        <v>0</v>
      </c>
      <c r="F34" s="73">
        <v>0</v>
      </c>
      <c r="G34" s="73"/>
      <c r="H34" s="73">
        <v>0</v>
      </c>
      <c r="I34" s="73">
        <v>0</v>
      </c>
      <c r="J34" s="73">
        <v>4307</v>
      </c>
      <c r="K34" s="73">
        <v>7431</v>
      </c>
      <c r="L34" s="71">
        <f t="shared" si="9"/>
        <v>11847</v>
      </c>
      <c r="M34" s="70"/>
      <c r="R34" s="56" t="s">
        <v>122</v>
      </c>
      <c r="S34" s="179">
        <f>M16</f>
        <v>52708.432989690686</v>
      </c>
      <c r="T34" s="180">
        <f t="shared" si="8"/>
        <v>52.708432989690685</v>
      </c>
      <c r="U34" s="55"/>
    </row>
    <row r="35" spans="2:40" x14ac:dyDescent="0.25">
      <c r="B35" s="19" t="s">
        <v>38</v>
      </c>
      <c r="C35" s="73">
        <v>155140</v>
      </c>
      <c r="D35" s="73">
        <v>0</v>
      </c>
      <c r="E35" s="73">
        <v>0</v>
      </c>
      <c r="F35" s="73">
        <v>15033</v>
      </c>
      <c r="G35" s="73"/>
      <c r="H35" s="73">
        <v>0</v>
      </c>
      <c r="I35" s="73">
        <v>0</v>
      </c>
      <c r="J35" s="73">
        <v>0</v>
      </c>
      <c r="K35" s="73">
        <v>116</v>
      </c>
      <c r="L35" s="71">
        <f t="shared" si="9"/>
        <v>170289</v>
      </c>
      <c r="M35" s="70"/>
      <c r="R35" s="173" t="s">
        <v>123</v>
      </c>
      <c r="S35" s="181">
        <f>SUM(S28:S34)</f>
        <v>106813.8</v>
      </c>
      <c r="T35" s="182">
        <f>SUM(T28:T34)</f>
        <v>106.81380000000001</v>
      </c>
      <c r="U35" s="55"/>
    </row>
    <row r="36" spans="2:40" x14ac:dyDescent="0.25">
      <c r="B36" s="19" t="s">
        <v>39</v>
      </c>
      <c r="C36" s="73">
        <v>255</v>
      </c>
      <c r="D36" s="73">
        <v>0</v>
      </c>
      <c r="E36" s="73">
        <v>0</v>
      </c>
      <c r="F36" s="73">
        <v>0</v>
      </c>
      <c r="G36" s="73"/>
      <c r="H36" s="73">
        <v>0</v>
      </c>
      <c r="I36" s="73">
        <v>0</v>
      </c>
      <c r="J36" s="73">
        <v>1552</v>
      </c>
      <c r="K36" s="73">
        <v>13287</v>
      </c>
      <c r="L36" s="71">
        <f t="shared" si="9"/>
        <v>15094</v>
      </c>
      <c r="M36" s="70"/>
      <c r="R36" s="173" t="s">
        <v>124</v>
      </c>
      <c r="S36"/>
      <c r="T36" s="60">
        <f>T26+T35+T19</f>
        <v>4169.5988000000007</v>
      </c>
    </row>
    <row r="37" spans="2:40" x14ac:dyDescent="0.25">
      <c r="B37" s="19" t="s">
        <v>40</v>
      </c>
      <c r="C37" s="73">
        <v>881</v>
      </c>
      <c r="D37" s="73">
        <v>0</v>
      </c>
      <c r="E37" s="73">
        <v>0</v>
      </c>
      <c r="F37" s="73">
        <v>0</v>
      </c>
      <c r="G37" s="73"/>
      <c r="H37" s="73">
        <v>28718</v>
      </c>
      <c r="I37" s="73">
        <v>0</v>
      </c>
      <c r="J37" s="73">
        <v>6155</v>
      </c>
      <c r="K37" s="73">
        <v>31435</v>
      </c>
      <c r="L37" s="71">
        <f t="shared" si="9"/>
        <v>67189</v>
      </c>
      <c r="M37" s="70"/>
      <c r="R37" s="1" t="s">
        <v>125</v>
      </c>
      <c r="S37"/>
      <c r="T37" s="183">
        <f>T17-T36</f>
        <v>384.98556701030793</v>
      </c>
      <c r="U37"/>
    </row>
    <row r="38" spans="2:40" x14ac:dyDescent="0.25">
      <c r="B38" s="19" t="s">
        <v>41</v>
      </c>
      <c r="C38" s="73">
        <v>0</v>
      </c>
      <c r="D38" s="73">
        <v>0</v>
      </c>
      <c r="E38" s="73">
        <v>0</v>
      </c>
      <c r="F38" s="73">
        <v>0</v>
      </c>
      <c r="G38" s="73"/>
      <c r="H38" s="73">
        <v>0</v>
      </c>
      <c r="I38" s="73">
        <v>0</v>
      </c>
      <c r="J38" s="73">
        <v>11441</v>
      </c>
      <c r="K38" s="73">
        <v>4570</v>
      </c>
      <c r="L38" s="71">
        <f t="shared" si="9"/>
        <v>16011</v>
      </c>
      <c r="M38" s="100"/>
      <c r="O38" s="6"/>
      <c r="P38" s="6"/>
      <c r="Q38" s="6"/>
      <c r="R38" s="173" t="s">
        <v>124</v>
      </c>
      <c r="S38"/>
      <c r="T38" s="60">
        <f>T28+T37+T21</f>
        <v>4195.6043670103081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73">
        <v>0</v>
      </c>
      <c r="D39" s="73">
        <v>0</v>
      </c>
      <c r="E39" s="73">
        <v>0</v>
      </c>
      <c r="F39" s="73">
        <v>0</v>
      </c>
      <c r="G39" s="73"/>
      <c r="H39" s="73">
        <v>0</v>
      </c>
      <c r="I39" s="73">
        <v>0</v>
      </c>
      <c r="J39" s="73">
        <v>0</v>
      </c>
      <c r="K39" s="73">
        <v>2507</v>
      </c>
      <c r="L39" s="71">
        <f t="shared" si="9"/>
        <v>2507</v>
      </c>
      <c r="M39" s="70"/>
      <c r="S39" s="172"/>
      <c r="T39" s="184"/>
      <c r="U39" s="172"/>
    </row>
    <row r="40" spans="2:40" ht="17.25" x14ac:dyDescent="0.4">
      <c r="B40" s="19" t="s">
        <v>43</v>
      </c>
      <c r="C40" s="116">
        <f>SUM(C32:C39)</f>
        <v>253621.05</v>
      </c>
      <c r="D40" s="69">
        <f t="shared" ref="D40:K40" si="10">SUM(D32:D39)</f>
        <v>0</v>
      </c>
      <c r="E40" s="116">
        <f t="shared" si="10"/>
        <v>49819.95</v>
      </c>
      <c r="F40" s="116">
        <f t="shared" si="10"/>
        <v>182231</v>
      </c>
      <c r="G40" s="116">
        <f t="shared" ref="G40" si="11">SUM(G32:G39)</f>
        <v>2682000</v>
      </c>
      <c r="H40" s="116">
        <f t="shared" si="10"/>
        <v>397873</v>
      </c>
      <c r="I40" s="69">
        <f t="shared" si="10"/>
        <v>0</v>
      </c>
      <c r="J40" s="69">
        <f t="shared" si="10"/>
        <v>23455</v>
      </c>
      <c r="K40" s="69">
        <f t="shared" si="10"/>
        <v>473785</v>
      </c>
      <c r="L40" s="71">
        <f t="shared" si="9"/>
        <v>4062785</v>
      </c>
      <c r="M40" s="70"/>
    </row>
    <row r="41" spans="2:40" x14ac:dyDescent="0.25">
      <c r="B41" s="19" t="s">
        <v>44</v>
      </c>
      <c r="C41" s="69">
        <f>SUM(C37:C39)</f>
        <v>881</v>
      </c>
      <c r="D41" s="69">
        <f t="shared" ref="D41:L41" si="12">SUM(D37:D39)</f>
        <v>0</v>
      </c>
      <c r="E41" s="69">
        <f t="shared" si="12"/>
        <v>0</v>
      </c>
      <c r="F41" s="69">
        <f t="shared" si="12"/>
        <v>0</v>
      </c>
      <c r="G41" s="69">
        <f t="shared" ref="G41" si="13">SUM(G37:G39)</f>
        <v>0</v>
      </c>
      <c r="H41" s="69">
        <f t="shared" si="12"/>
        <v>28718</v>
      </c>
      <c r="I41" s="69">
        <f t="shared" si="12"/>
        <v>0</v>
      </c>
      <c r="J41" s="69">
        <f t="shared" si="12"/>
        <v>17596</v>
      </c>
      <c r="K41" s="69">
        <f t="shared" si="12"/>
        <v>38512</v>
      </c>
      <c r="L41" s="69">
        <f t="shared" si="12"/>
        <v>85707</v>
      </c>
      <c r="M41" s="70"/>
    </row>
    <row r="42" spans="2:40" x14ac:dyDescent="0.25">
      <c r="B42" s="24"/>
      <c r="C42" s="42"/>
      <c r="D42" s="42"/>
      <c r="E42" s="42"/>
      <c r="F42" s="42">
        <f>F33+G33</f>
        <v>2849000</v>
      </c>
      <c r="G42" s="42"/>
      <c r="H42" s="42"/>
      <c r="I42" s="42"/>
      <c r="J42" s="42"/>
      <c r="K42" s="42"/>
      <c r="L42" s="43"/>
    </row>
    <row r="43" spans="2:40" ht="15.75" thickBot="1" x14ac:dyDescent="0.3">
      <c r="B43" s="44"/>
      <c r="C43" s="45"/>
      <c r="D43" s="45"/>
      <c r="E43" s="45"/>
      <c r="F43" s="211">
        <f>F40+G40</f>
        <v>2864231</v>
      </c>
      <c r="G43" s="45"/>
      <c r="H43" s="45"/>
      <c r="I43" s="45"/>
      <c r="J43" s="45"/>
      <c r="K43" s="45"/>
      <c r="L43" s="46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3"/>
  <sheetViews>
    <sheetView zoomScale="60" zoomScaleNormal="60" workbookViewId="0">
      <selection activeCell="L20" sqref="L20:M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4.85546875" style="1" bestFit="1" customWidth="1"/>
    <col min="4" max="4" width="9.28515625" style="1" bestFit="1" customWidth="1"/>
    <col min="5" max="5" width="14.85546875" style="1" bestFit="1" customWidth="1"/>
    <col min="6" max="6" width="12.42578125" style="1" bestFit="1" customWidth="1"/>
    <col min="7" max="7" width="12.42578125" style="1" customWidth="1"/>
    <col min="8" max="8" width="13.5703125" style="1" bestFit="1" customWidth="1"/>
    <col min="9" max="9" width="9.28515625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9" style="1" bestFit="1" customWidth="1"/>
    <col min="19" max="19" width="13" style="1" bestFit="1" customWidth="1"/>
    <col min="20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/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70">
        <v>0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  <c r="J4" s="70">
        <v>0</v>
      </c>
      <c r="K4" s="73">
        <v>0</v>
      </c>
      <c r="L4" s="167">
        <f>K4/(K4+K5)</f>
        <v>0</v>
      </c>
      <c r="M4" s="71">
        <f>J4-K4</f>
        <v>0</v>
      </c>
      <c r="N4" s="1"/>
      <c r="O4" s="6"/>
      <c r="P4" s="6"/>
      <c r="Q4" s="6"/>
      <c r="R4" s="51" t="s">
        <v>105</v>
      </c>
      <c r="S4" s="21">
        <f>L20</f>
        <v>525600.80645161285</v>
      </c>
      <c r="T4" s="171">
        <f>S4/1000</f>
        <v>525.60080645161281</v>
      </c>
      <c r="U4" s="172"/>
      <c r="W4" s="1"/>
    </row>
    <row r="5" spans="2:23" s="7" customFormat="1" x14ac:dyDescent="0.25">
      <c r="B5" s="19" t="s">
        <v>9</v>
      </c>
      <c r="C5" s="70">
        <v>5264</v>
      </c>
      <c r="D5" s="70">
        <v>0</v>
      </c>
      <c r="E5" s="70">
        <v>0</v>
      </c>
      <c r="F5" s="70">
        <v>0</v>
      </c>
      <c r="G5" s="70">
        <v>0</v>
      </c>
      <c r="H5" s="70">
        <v>77908</v>
      </c>
      <c r="I5" s="70">
        <v>0</v>
      </c>
      <c r="J5" s="70">
        <v>83172</v>
      </c>
      <c r="K5" s="73">
        <v>65083</v>
      </c>
      <c r="L5" s="167">
        <f>K5/(K4+K5)</f>
        <v>1</v>
      </c>
      <c r="M5" s="71">
        <f>J5-K5</f>
        <v>18089</v>
      </c>
      <c r="N5" s="1"/>
      <c r="O5" s="6"/>
      <c r="P5" s="6"/>
      <c r="Q5" s="6"/>
      <c r="R5" s="7" t="s">
        <v>106</v>
      </c>
      <c r="S5" s="21">
        <f>IF(K28&gt;0,0,K28)*-1</f>
        <v>0</v>
      </c>
      <c r="T5" s="171">
        <f>S5/1000</f>
        <v>0</v>
      </c>
      <c r="W5" s="1"/>
    </row>
    <row r="6" spans="2:23" s="7" customFormat="1" x14ac:dyDescent="0.25">
      <c r="B6" s="19" t="s">
        <v>10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3">
        <v>0</v>
      </c>
      <c r="L6" s="119"/>
      <c r="M6" s="71"/>
      <c r="N6" s="1"/>
      <c r="O6" s="6"/>
      <c r="P6" s="6"/>
      <c r="Q6" s="6"/>
      <c r="R6" s="51" t="s">
        <v>104</v>
      </c>
      <c r="S6" s="171">
        <f>H10+H20+H40</f>
        <v>115372</v>
      </c>
      <c r="T6" s="171">
        <f>S6/1000</f>
        <v>115.372</v>
      </c>
      <c r="U6" s="172"/>
      <c r="W6" s="1"/>
    </row>
    <row r="7" spans="2:23" s="7" customFormat="1" x14ac:dyDescent="0.25">
      <c r="B7" s="19" t="s">
        <v>11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3">
        <v>0</v>
      </c>
      <c r="L7" s="119"/>
      <c r="M7" s="71"/>
      <c r="N7" s="1"/>
      <c r="O7" s="6"/>
      <c r="P7" s="6"/>
      <c r="Q7" s="6"/>
      <c r="R7" s="51" t="s">
        <v>56</v>
      </c>
      <c r="S7" s="171">
        <f>D10+D20+D40</f>
        <v>0</v>
      </c>
      <c r="T7" s="171">
        <f>S7/1000</f>
        <v>0</v>
      </c>
      <c r="U7" s="172"/>
      <c r="V7" s="6"/>
      <c r="W7" s="1"/>
    </row>
    <row r="8" spans="2:23" s="7" customFormat="1" x14ac:dyDescent="0.25">
      <c r="B8" s="19" t="s">
        <v>12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3">
        <v>1875</v>
      </c>
      <c r="L8" s="119"/>
      <c r="M8" s="71"/>
      <c r="N8" s="1"/>
      <c r="O8" s="6"/>
      <c r="P8" s="6"/>
      <c r="Q8" s="6"/>
      <c r="R8" s="51" t="s">
        <v>58</v>
      </c>
      <c r="S8" s="171">
        <f>G10+G20+G40</f>
        <v>0</v>
      </c>
      <c r="T8" s="171">
        <f t="shared" ref="T8:T12" si="0">S8/1000</f>
        <v>0</v>
      </c>
      <c r="U8" s="172"/>
      <c r="V8" s="6"/>
      <c r="W8" s="1"/>
    </row>
    <row r="9" spans="2:23" s="7" customFormat="1" x14ac:dyDescent="0.25">
      <c r="B9" s="19" t="s">
        <v>13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3">
        <v>7981</v>
      </c>
      <c r="L9" s="119"/>
      <c r="M9" s="71"/>
      <c r="N9" s="1"/>
      <c r="O9" s="6"/>
      <c r="P9" s="6"/>
      <c r="Q9" s="6"/>
      <c r="R9" s="51" t="s">
        <v>59</v>
      </c>
      <c r="S9" s="171">
        <f>E10+E20+E40</f>
        <v>127412.5</v>
      </c>
      <c r="T9" s="171">
        <f t="shared" si="0"/>
        <v>127.41249999999999</v>
      </c>
      <c r="U9" s="172"/>
      <c r="V9" s="6"/>
      <c r="W9" s="1"/>
    </row>
    <row r="10" spans="2:23" s="7" customFormat="1" x14ac:dyDescent="0.25">
      <c r="B10" s="19" t="s">
        <v>14</v>
      </c>
      <c r="C10" s="73">
        <f t="shared" ref="C10:K10" si="1">SUM(C4:C9)</f>
        <v>5264</v>
      </c>
      <c r="D10" s="73">
        <f t="shared" si="1"/>
        <v>0</v>
      </c>
      <c r="E10" s="73">
        <f t="shared" si="1"/>
        <v>0</v>
      </c>
      <c r="F10" s="73">
        <f t="shared" si="1"/>
        <v>0</v>
      </c>
      <c r="G10" s="73">
        <f t="shared" ref="G10" si="2">SUM(G4:G9)</f>
        <v>0</v>
      </c>
      <c r="H10" s="73">
        <f t="shared" si="1"/>
        <v>77908</v>
      </c>
      <c r="I10" s="73">
        <f t="shared" si="1"/>
        <v>0</v>
      </c>
      <c r="J10" s="73">
        <f t="shared" si="1"/>
        <v>83172</v>
      </c>
      <c r="K10" s="73">
        <f t="shared" si="1"/>
        <v>74939</v>
      </c>
      <c r="L10" s="119"/>
      <c r="M10" s="71">
        <f>SUM(M4:M9)</f>
        <v>18089</v>
      </c>
      <c r="N10" s="1"/>
      <c r="O10" s="6"/>
      <c r="P10" s="6"/>
      <c r="Q10" s="6"/>
      <c r="R10" s="51" t="s">
        <v>25</v>
      </c>
      <c r="S10" s="171">
        <f>I10+I20+I40</f>
        <v>0</v>
      </c>
      <c r="T10" s="171">
        <f t="shared" si="0"/>
        <v>0</v>
      </c>
      <c r="U10" s="172"/>
      <c r="V10" s="6"/>
      <c r="W10" s="1"/>
    </row>
    <row r="11" spans="2:23" s="7" customFormat="1" x14ac:dyDescent="0.25">
      <c r="B11" s="22"/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120"/>
      <c r="N11" s="1"/>
      <c r="O11" s="6"/>
      <c r="P11" s="6"/>
      <c r="Q11" s="6"/>
      <c r="R11" s="51" t="s">
        <v>60</v>
      </c>
      <c r="S11" s="171">
        <f>F10+F20+F40</f>
        <v>8448</v>
      </c>
      <c r="T11" s="171">
        <f t="shared" si="0"/>
        <v>8.4480000000000004</v>
      </c>
      <c r="U11" s="172"/>
      <c r="V11" s="6"/>
      <c r="W11" s="1"/>
    </row>
    <row r="12" spans="2:23" s="7" customFormat="1" x14ac:dyDescent="0.25">
      <c r="B12" s="23" t="s">
        <v>15</v>
      </c>
      <c r="C12" s="75"/>
      <c r="D12" s="75"/>
      <c r="E12" s="75"/>
      <c r="F12" s="75"/>
      <c r="G12" s="75"/>
      <c r="H12" s="75"/>
      <c r="I12" s="75"/>
      <c r="J12" s="119"/>
      <c r="K12" s="119">
        <v>0</v>
      </c>
      <c r="L12" s="76"/>
      <c r="M12" s="120"/>
      <c r="N12" s="1"/>
      <c r="O12" s="6"/>
      <c r="P12" s="6"/>
      <c r="Q12" s="6"/>
      <c r="R12" s="51" t="s">
        <v>61</v>
      </c>
      <c r="S12" s="171">
        <f>C10+C20+C40</f>
        <v>120921</v>
      </c>
      <c r="T12" s="171">
        <f t="shared" si="0"/>
        <v>120.92100000000001</v>
      </c>
      <c r="U12" s="172"/>
      <c r="V12" s="6"/>
      <c r="W12" s="1"/>
    </row>
    <row r="13" spans="2:23" x14ac:dyDescent="0.25">
      <c r="B13" s="2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21"/>
      <c r="N13" s="6"/>
      <c r="R13" s="173" t="s">
        <v>108</v>
      </c>
      <c r="S13" s="171">
        <f>SUM(S4:S12)</f>
        <v>897754.30645161285</v>
      </c>
      <c r="T13" s="171">
        <f>SUM(T4:T12)</f>
        <v>897.75430645161282</v>
      </c>
      <c r="U13" s="172"/>
    </row>
    <row r="14" spans="2:23" ht="18.75" x14ac:dyDescent="0.3">
      <c r="B14" s="26" t="s">
        <v>16</v>
      </c>
      <c r="C14" s="122"/>
      <c r="D14" s="122"/>
      <c r="E14" s="122"/>
      <c r="F14" s="122"/>
      <c r="G14" s="122"/>
      <c r="H14" s="122"/>
      <c r="I14" s="122"/>
      <c r="J14" s="122"/>
      <c r="K14" s="101" t="s">
        <v>17</v>
      </c>
      <c r="L14" s="123" t="s">
        <v>18</v>
      </c>
      <c r="M14" s="124"/>
      <c r="N14" s="27" t="s">
        <v>19</v>
      </c>
      <c r="O14" s="28"/>
      <c r="R14" t="s">
        <v>109</v>
      </c>
      <c r="S14" s="59">
        <f>K8</f>
        <v>1875</v>
      </c>
      <c r="T14" s="59">
        <f>S14/1000</f>
        <v>1.875</v>
      </c>
      <c r="U14" s="172"/>
      <c r="V14"/>
    </row>
    <row r="15" spans="2:23" x14ac:dyDescent="0.25">
      <c r="B15" s="19" t="s">
        <v>20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125">
        <f>K15/(1-N15)</f>
        <v>0</v>
      </c>
      <c r="M15" s="126">
        <f>J15-L15</f>
        <v>0</v>
      </c>
      <c r="N15" s="29">
        <v>0.03</v>
      </c>
      <c r="P15" s="30"/>
      <c r="R15" t="s">
        <v>110</v>
      </c>
      <c r="S15" s="59">
        <f>K9</f>
        <v>7981</v>
      </c>
      <c r="T15" s="59">
        <f t="shared" ref="T15:T16" si="3">S15/1000</f>
        <v>7.9809999999999999</v>
      </c>
      <c r="U15" s="172"/>
      <c r="V15"/>
    </row>
    <row r="16" spans="2:23" x14ac:dyDescent="0.25">
      <c r="B16" s="19" t="s">
        <v>21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125">
        <f>K16/(1-N16)</f>
        <v>0</v>
      </c>
      <c r="M16" s="126">
        <f>J16-L16</f>
        <v>0</v>
      </c>
      <c r="N16" s="29">
        <v>0.03</v>
      </c>
      <c r="P16" s="30"/>
      <c r="R16" t="s">
        <v>111</v>
      </c>
      <c r="S16" s="59">
        <f>K6+K7</f>
        <v>0</v>
      </c>
      <c r="T16" s="59">
        <f t="shared" si="3"/>
        <v>0</v>
      </c>
      <c r="U16" s="172"/>
      <c r="V16" s="6"/>
    </row>
    <row r="17" spans="2:23" x14ac:dyDescent="0.25">
      <c r="B17" s="19" t="s">
        <v>22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125">
        <f>K17/(1-N17)</f>
        <v>0</v>
      </c>
      <c r="M17" s="126">
        <f>J17-L17</f>
        <v>0</v>
      </c>
      <c r="N17" s="29">
        <v>0.03</v>
      </c>
      <c r="P17" s="30"/>
      <c r="R17" t="s">
        <v>112</v>
      </c>
      <c r="S17" s="59">
        <f>SUM(S13:S16)</f>
        <v>907610.30645161285</v>
      </c>
      <c r="T17" s="59">
        <f>SUM(T13:T16)</f>
        <v>907.61030645161281</v>
      </c>
      <c r="U17" s="172"/>
      <c r="V17" s="6"/>
      <c r="W17" s="6"/>
    </row>
    <row r="18" spans="2:23" x14ac:dyDescent="0.25">
      <c r="B18" s="19" t="s">
        <v>23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521396</v>
      </c>
      <c r="L18" s="125">
        <f>K18/(1-N18)</f>
        <v>525600.80645161285</v>
      </c>
      <c r="M18" s="126"/>
      <c r="N18" s="31">
        <v>8.0000000000000002E-3</v>
      </c>
      <c r="P18" s="30"/>
      <c r="R18"/>
      <c r="S18"/>
      <c r="T18"/>
      <c r="U18"/>
      <c r="V18" s="6"/>
    </row>
    <row r="19" spans="2:23" x14ac:dyDescent="0.25">
      <c r="B19" s="19" t="s">
        <v>24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125">
        <f>K19/(1-N19)</f>
        <v>0</v>
      </c>
      <c r="M19" s="126"/>
      <c r="N19" s="1">
        <v>0</v>
      </c>
      <c r="P19" s="30"/>
      <c r="R19" s="19" t="s">
        <v>113</v>
      </c>
      <c r="S19" s="21">
        <f>IF(K28&lt;0,0,K28)</f>
        <v>156378.68</v>
      </c>
      <c r="T19" s="171">
        <f t="shared" ref="T19:T25" si="4">S19/1000</f>
        <v>156.37868</v>
      </c>
      <c r="U19"/>
      <c r="V19" s="6"/>
    </row>
    <row r="20" spans="2:23" x14ac:dyDescent="0.25">
      <c r="B20" s="19" t="s">
        <v>14</v>
      </c>
      <c r="C20" s="73">
        <f t="shared" ref="C20:J20" si="5">SUM(C15:C19)</f>
        <v>0</v>
      </c>
      <c r="D20" s="73">
        <f t="shared" si="5"/>
        <v>0</v>
      </c>
      <c r="E20" s="73">
        <f t="shared" si="5"/>
        <v>0</v>
      </c>
      <c r="F20" s="73">
        <f t="shared" si="5"/>
        <v>0</v>
      </c>
      <c r="G20" s="73">
        <f t="shared" ref="G20" si="6">SUM(G15:G19)</f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>SUM(K15:K19)</f>
        <v>521396</v>
      </c>
      <c r="L20" s="86">
        <f>SUM(L15:L19)</f>
        <v>525600.80645161285</v>
      </c>
      <c r="M20" s="86">
        <f>SUM(M15:M19)</f>
        <v>0</v>
      </c>
      <c r="N20" s="32"/>
      <c r="O20" s="33"/>
      <c r="P20" s="30"/>
      <c r="R20" s="19" t="s">
        <v>35</v>
      </c>
      <c r="S20" s="174">
        <f>L32</f>
        <v>10415.5</v>
      </c>
      <c r="T20" s="171">
        <f t="shared" si="4"/>
        <v>10.4155</v>
      </c>
      <c r="U20"/>
      <c r="V20" s="6"/>
    </row>
    <row r="21" spans="2:23" x14ac:dyDescent="0.25">
      <c r="B21" s="24"/>
      <c r="C21" s="73"/>
      <c r="D21" s="73"/>
      <c r="E21" s="73"/>
      <c r="F21" s="73"/>
      <c r="G21" s="73"/>
      <c r="H21" s="73"/>
      <c r="I21" s="73"/>
      <c r="J21" s="73"/>
      <c r="K21" s="73"/>
      <c r="L21" s="70"/>
      <c r="M21" s="121"/>
      <c r="N21" s="30"/>
      <c r="R21" s="19" t="s">
        <v>36</v>
      </c>
      <c r="S21" s="174">
        <f>L33</f>
        <v>421701</v>
      </c>
      <c r="T21" s="171">
        <f t="shared" si="4"/>
        <v>421.70100000000002</v>
      </c>
      <c r="U21" s="172"/>
    </row>
    <row r="22" spans="2:23" x14ac:dyDescent="0.25">
      <c r="B22" s="2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121"/>
      <c r="R22" s="19" t="s">
        <v>37</v>
      </c>
      <c r="S22" s="174">
        <f>L34</f>
        <v>19466</v>
      </c>
      <c r="T22" s="171">
        <f t="shared" si="4"/>
        <v>19.466000000000001</v>
      </c>
      <c r="U22" s="172"/>
    </row>
    <row r="23" spans="2:23" ht="15.75" thickBot="1" x14ac:dyDescent="0.3">
      <c r="B23" s="35" t="s">
        <v>25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27"/>
      <c r="R23" s="19" t="s">
        <v>38</v>
      </c>
      <c r="S23" s="174">
        <f>L35</f>
        <v>85102</v>
      </c>
      <c r="T23" s="171">
        <f t="shared" si="4"/>
        <v>85.102000000000004</v>
      </c>
      <c r="U23" s="172"/>
    </row>
    <row r="24" spans="2:23" x14ac:dyDescent="0.25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R24" s="19" t="s">
        <v>39</v>
      </c>
      <c r="S24" s="174">
        <f>L36</f>
        <v>29934</v>
      </c>
      <c r="T24" s="171">
        <f t="shared" si="4"/>
        <v>29.934000000000001</v>
      </c>
      <c r="U24" s="172"/>
    </row>
    <row r="25" spans="2:23" ht="15.75" thickBot="1" x14ac:dyDescent="0.3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R25" s="19" t="s">
        <v>44</v>
      </c>
      <c r="S25" s="174">
        <f>L41</f>
        <v>126931</v>
      </c>
      <c r="T25" s="171">
        <f t="shared" si="4"/>
        <v>126.931</v>
      </c>
      <c r="U25" s="172"/>
    </row>
    <row r="26" spans="2:23" ht="15.75" thickBot="1" x14ac:dyDescent="0.3">
      <c r="B26" s="8"/>
      <c r="C26" s="90"/>
      <c r="D26" s="90"/>
      <c r="E26" s="90"/>
      <c r="F26" s="90"/>
      <c r="G26" s="90"/>
      <c r="H26" s="90"/>
      <c r="I26" s="70"/>
      <c r="J26" s="91" t="s">
        <v>26</v>
      </c>
      <c r="K26" s="92" t="s">
        <v>27</v>
      </c>
      <c r="L26" s="70"/>
      <c r="M26" s="70"/>
      <c r="N26" s="38" t="s">
        <v>28</v>
      </c>
      <c r="R26" s="19" t="s">
        <v>114</v>
      </c>
      <c r="S26" s="60">
        <f>SUM(S20:S25)</f>
        <v>693549.5</v>
      </c>
      <c r="T26" s="60">
        <f>SUM(T20:T25)</f>
        <v>693.54950000000008</v>
      </c>
      <c r="U26" s="172"/>
    </row>
    <row r="27" spans="2:23" x14ac:dyDescent="0.25">
      <c r="B27" s="39" t="s">
        <v>29</v>
      </c>
      <c r="C27" s="73"/>
      <c r="D27" s="73"/>
      <c r="E27" s="73"/>
      <c r="F27" s="73"/>
      <c r="G27" s="73"/>
      <c r="H27" s="73"/>
      <c r="I27" s="70"/>
      <c r="J27" s="69">
        <f>K10-J40</f>
        <v>8350</v>
      </c>
      <c r="K27" s="134">
        <f>K40*8%</f>
        <v>27038.32</v>
      </c>
      <c r="L27" s="70"/>
      <c r="M27" s="70"/>
      <c r="N27" s="40">
        <f>100-(J40/K10*100)</f>
        <v>11.142395815263086</v>
      </c>
      <c r="R27" s="175" t="s">
        <v>115</v>
      </c>
      <c r="S27" s="176"/>
      <c r="T27" s="177">
        <f t="shared" ref="T27:T34" si="7">S27/1000</f>
        <v>0</v>
      </c>
      <c r="U27" s="172"/>
    </row>
    <row r="28" spans="2:23" ht="15.75" thickBot="1" x14ac:dyDescent="0.3">
      <c r="B28" s="35" t="s">
        <v>30</v>
      </c>
      <c r="C28" s="93"/>
      <c r="D28" s="93"/>
      <c r="E28" s="93"/>
      <c r="F28" s="93"/>
      <c r="G28" s="93"/>
      <c r="H28" s="93"/>
      <c r="I28" s="93"/>
      <c r="J28" s="94">
        <f>J40+J27-K10</f>
        <v>0</v>
      </c>
      <c r="K28" s="95">
        <f>K20-K27-K40</f>
        <v>156378.68</v>
      </c>
      <c r="L28" s="70"/>
      <c r="M28" s="70"/>
      <c r="N28" s="1" t="str">
        <f>IF(N27&gt;10,"OBS! HÖGA FÖRLUSTER","OK")</f>
        <v>OBS! HÖGA FÖRLUSTER</v>
      </c>
      <c r="R28" s="51" t="s">
        <v>116</v>
      </c>
      <c r="S28" s="52">
        <f>K27</f>
        <v>27038.32</v>
      </c>
      <c r="T28" s="178">
        <f t="shared" si="7"/>
        <v>27.038319999999999</v>
      </c>
      <c r="U28" s="172"/>
    </row>
    <row r="29" spans="2:23" ht="15.75" thickBot="1" x14ac:dyDescent="0.3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R29" s="51" t="s">
        <v>117</v>
      </c>
      <c r="S29" s="52">
        <f>J27</f>
        <v>8350</v>
      </c>
      <c r="T29" s="178">
        <f t="shared" si="7"/>
        <v>8.35</v>
      </c>
      <c r="U29" s="50"/>
    </row>
    <row r="30" spans="2:23" ht="15.75" thickBot="1" x14ac:dyDescent="0.3">
      <c r="B30" s="8"/>
      <c r="C30" s="96" t="s">
        <v>0</v>
      </c>
      <c r="D30" s="96"/>
      <c r="E30" s="96"/>
      <c r="F30" s="96" t="s">
        <v>1</v>
      </c>
      <c r="G30" s="96"/>
      <c r="H30" s="96"/>
      <c r="I30" s="90"/>
      <c r="J30" s="90"/>
      <c r="K30" s="90"/>
      <c r="L30" s="97"/>
      <c r="M30" s="70"/>
      <c r="R30" s="51" t="s">
        <v>118</v>
      </c>
      <c r="S30" s="52">
        <f>L20-K20</f>
        <v>4204.8064516128507</v>
      </c>
      <c r="T30" s="178">
        <f t="shared" si="7"/>
        <v>4.2048064516128507</v>
      </c>
      <c r="U30" s="55"/>
    </row>
    <row r="31" spans="2:23" ht="30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98" t="s">
        <v>32</v>
      </c>
      <c r="K31" s="98" t="s">
        <v>33</v>
      </c>
      <c r="L31" s="99" t="s">
        <v>34</v>
      </c>
      <c r="M31" s="70"/>
      <c r="R31" s="51" t="s">
        <v>119</v>
      </c>
      <c r="S31" s="52">
        <f>M4</f>
        <v>0</v>
      </c>
      <c r="T31" s="178">
        <f t="shared" si="7"/>
        <v>0</v>
      </c>
      <c r="U31" s="55"/>
    </row>
    <row r="32" spans="2:23" ht="17.25" x14ac:dyDescent="0.4">
      <c r="B32" s="19" t="s">
        <v>35</v>
      </c>
      <c r="C32" s="118">
        <v>3637</v>
      </c>
      <c r="D32" s="73">
        <v>0</v>
      </c>
      <c r="E32" s="73">
        <v>0</v>
      </c>
      <c r="F32" s="118">
        <v>413.5</v>
      </c>
      <c r="G32" s="118"/>
      <c r="H32" s="73">
        <v>0</v>
      </c>
      <c r="I32" s="73">
        <v>0</v>
      </c>
      <c r="J32" s="73">
        <v>0</v>
      </c>
      <c r="K32" s="73">
        <v>6365</v>
      </c>
      <c r="L32" s="71">
        <f>SUM(C32:K32)</f>
        <v>10415.5</v>
      </c>
      <c r="M32" s="70"/>
      <c r="R32" s="51" t="s">
        <v>120</v>
      </c>
      <c r="S32" s="52">
        <f>M5</f>
        <v>18089</v>
      </c>
      <c r="T32" s="178">
        <f t="shared" si="7"/>
        <v>18.088999999999999</v>
      </c>
      <c r="U32"/>
    </row>
    <row r="33" spans="2:40" ht="17.25" x14ac:dyDescent="0.4">
      <c r="B33" s="19" t="s">
        <v>36</v>
      </c>
      <c r="C33" s="118">
        <v>32500</v>
      </c>
      <c r="D33" s="73">
        <v>0</v>
      </c>
      <c r="E33" s="118">
        <v>127412.5</v>
      </c>
      <c r="F33" s="118">
        <v>407.5</v>
      </c>
      <c r="G33" s="118"/>
      <c r="H33" s="118">
        <v>409</v>
      </c>
      <c r="I33" s="73">
        <v>0</v>
      </c>
      <c r="J33" s="73">
        <v>17994</v>
      </c>
      <c r="K33" s="73">
        <v>242978</v>
      </c>
      <c r="L33" s="71">
        <f t="shared" ref="L33:L40" si="8">SUM(C33:K33)</f>
        <v>421701</v>
      </c>
      <c r="M33" s="70"/>
      <c r="R33" s="51" t="s">
        <v>121</v>
      </c>
      <c r="S33" s="52">
        <f>M15</f>
        <v>0</v>
      </c>
      <c r="T33" s="178">
        <f t="shared" si="7"/>
        <v>0</v>
      </c>
      <c r="U33" s="55"/>
    </row>
    <row r="34" spans="2:40" ht="15.75" thickBot="1" x14ac:dyDescent="0.3">
      <c r="B34" s="19" t="s">
        <v>37</v>
      </c>
      <c r="C34" s="73">
        <v>88</v>
      </c>
      <c r="D34" s="73">
        <v>0</v>
      </c>
      <c r="E34" s="73">
        <v>0</v>
      </c>
      <c r="F34" s="73">
        <v>0</v>
      </c>
      <c r="G34" s="73"/>
      <c r="H34" s="73">
        <v>0</v>
      </c>
      <c r="I34" s="73">
        <v>0</v>
      </c>
      <c r="J34" s="73">
        <v>10025</v>
      </c>
      <c r="K34" s="73">
        <v>9353</v>
      </c>
      <c r="L34" s="71">
        <f t="shared" si="8"/>
        <v>19466</v>
      </c>
      <c r="M34" s="70"/>
      <c r="R34" s="56" t="s">
        <v>122</v>
      </c>
      <c r="S34" s="179">
        <f>M16</f>
        <v>0</v>
      </c>
      <c r="T34" s="180">
        <f t="shared" si="7"/>
        <v>0</v>
      </c>
      <c r="U34" s="55"/>
    </row>
    <row r="35" spans="2:40" x14ac:dyDescent="0.25">
      <c r="B35" s="19" t="s">
        <v>38</v>
      </c>
      <c r="C35" s="73">
        <v>77071</v>
      </c>
      <c r="D35" s="73">
        <v>0</v>
      </c>
      <c r="E35" s="73">
        <v>0</v>
      </c>
      <c r="F35" s="73">
        <v>7627</v>
      </c>
      <c r="G35" s="73"/>
      <c r="H35" s="73">
        <v>0</v>
      </c>
      <c r="I35" s="73">
        <v>0</v>
      </c>
      <c r="J35" s="73">
        <v>0</v>
      </c>
      <c r="K35" s="73">
        <v>404</v>
      </c>
      <c r="L35" s="71">
        <f t="shared" si="8"/>
        <v>85102</v>
      </c>
      <c r="M35" s="70"/>
      <c r="R35" s="173" t="s">
        <v>123</v>
      </c>
      <c r="S35" s="181">
        <f>SUM(S28:S34)</f>
        <v>57682.12645161285</v>
      </c>
      <c r="T35" s="182">
        <f>SUM(T28:T34)</f>
        <v>57.682126451612852</v>
      </c>
      <c r="U35" s="55"/>
    </row>
    <row r="36" spans="2:40" x14ac:dyDescent="0.25">
      <c r="B36" s="19" t="s">
        <v>39</v>
      </c>
      <c r="C36" s="73">
        <v>525</v>
      </c>
      <c r="D36" s="73">
        <v>0</v>
      </c>
      <c r="E36" s="73">
        <v>0</v>
      </c>
      <c r="F36" s="73">
        <v>0</v>
      </c>
      <c r="G36" s="73"/>
      <c r="H36" s="73">
        <v>0</v>
      </c>
      <c r="I36" s="73">
        <v>0</v>
      </c>
      <c r="J36" s="73">
        <v>10835</v>
      </c>
      <c r="K36" s="73">
        <v>18574</v>
      </c>
      <c r="L36" s="71">
        <f t="shared" si="8"/>
        <v>29934</v>
      </c>
      <c r="M36" s="70"/>
      <c r="R36" s="173" t="s">
        <v>124</v>
      </c>
      <c r="S36"/>
      <c r="T36" s="60">
        <f>T26+T35+T19</f>
        <v>907.61030645161293</v>
      </c>
    </row>
    <row r="37" spans="2:40" x14ac:dyDescent="0.25">
      <c r="B37" s="19" t="s">
        <v>40</v>
      </c>
      <c r="C37" s="73">
        <v>1836</v>
      </c>
      <c r="D37" s="73">
        <v>0</v>
      </c>
      <c r="E37" s="73">
        <v>0</v>
      </c>
      <c r="F37" s="73">
        <v>0</v>
      </c>
      <c r="G37" s="73"/>
      <c r="H37" s="73">
        <v>37055</v>
      </c>
      <c r="I37" s="73">
        <v>0</v>
      </c>
      <c r="J37" s="73">
        <v>7614</v>
      </c>
      <c r="K37" s="73">
        <v>51449</v>
      </c>
      <c r="L37" s="71">
        <f t="shared" si="8"/>
        <v>97954</v>
      </c>
      <c r="M37" s="70"/>
      <c r="R37" s="1" t="s">
        <v>125</v>
      </c>
      <c r="S37"/>
      <c r="T37" s="183">
        <f>T17-T36</f>
        <v>0</v>
      </c>
      <c r="U37"/>
    </row>
    <row r="38" spans="2:40" x14ac:dyDescent="0.25">
      <c r="B38" s="19" t="s">
        <v>41</v>
      </c>
      <c r="C38" s="73">
        <v>0</v>
      </c>
      <c r="D38" s="73">
        <v>0</v>
      </c>
      <c r="E38" s="73">
        <v>0</v>
      </c>
      <c r="F38" s="73">
        <v>0</v>
      </c>
      <c r="G38" s="73"/>
      <c r="H38" s="73">
        <v>0</v>
      </c>
      <c r="I38" s="73">
        <v>0</v>
      </c>
      <c r="J38" s="73">
        <v>20121</v>
      </c>
      <c r="K38" s="73">
        <v>5645</v>
      </c>
      <c r="L38" s="71">
        <f t="shared" si="8"/>
        <v>25766</v>
      </c>
      <c r="M38" s="100"/>
      <c r="O38" s="6"/>
      <c r="P38" s="6"/>
      <c r="Q38" s="6"/>
      <c r="R38" s="173" t="s">
        <v>124</v>
      </c>
      <c r="S38"/>
      <c r="T38" s="60">
        <f>T28+T37+T21</f>
        <v>448.73932000000002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73">
        <v>0</v>
      </c>
      <c r="D39" s="73">
        <v>0</v>
      </c>
      <c r="E39" s="73">
        <v>0</v>
      </c>
      <c r="F39" s="73">
        <v>0</v>
      </c>
      <c r="G39" s="73"/>
      <c r="H39" s="73">
        <v>0</v>
      </c>
      <c r="I39" s="73">
        <v>0</v>
      </c>
      <c r="J39" s="73">
        <v>0</v>
      </c>
      <c r="K39" s="73">
        <v>3211</v>
      </c>
      <c r="L39" s="71">
        <f t="shared" si="8"/>
        <v>3211</v>
      </c>
      <c r="M39" s="70"/>
      <c r="S39" s="172"/>
      <c r="T39" s="184"/>
      <c r="U39" s="172"/>
    </row>
    <row r="40" spans="2:40" ht="17.25" x14ac:dyDescent="0.4">
      <c r="B40" s="19" t="s">
        <v>43</v>
      </c>
      <c r="C40" s="116">
        <f>SUM(C32:C39)</f>
        <v>115657</v>
      </c>
      <c r="D40" s="69">
        <f t="shared" ref="D40:K40" si="9">SUM(D32:D39)</f>
        <v>0</v>
      </c>
      <c r="E40" s="116">
        <f t="shared" si="9"/>
        <v>127412.5</v>
      </c>
      <c r="F40" s="68">
        <f t="shared" si="9"/>
        <v>8448</v>
      </c>
      <c r="G40" s="68">
        <f t="shared" ref="G40" si="10">SUM(G32:G39)</f>
        <v>0</v>
      </c>
      <c r="H40" s="116">
        <f t="shared" si="9"/>
        <v>37464</v>
      </c>
      <c r="I40" s="69">
        <f t="shared" si="9"/>
        <v>0</v>
      </c>
      <c r="J40" s="69">
        <f t="shared" si="9"/>
        <v>66589</v>
      </c>
      <c r="K40" s="69">
        <f t="shared" si="9"/>
        <v>337979</v>
      </c>
      <c r="L40" s="71">
        <f t="shared" si="8"/>
        <v>693549.5</v>
      </c>
      <c r="M40" s="70"/>
    </row>
    <row r="41" spans="2:40" x14ac:dyDescent="0.25">
      <c r="B41" s="19" t="s">
        <v>44</v>
      </c>
      <c r="C41" s="69">
        <f>SUM(C37:C39)</f>
        <v>1836</v>
      </c>
      <c r="D41" s="69">
        <f t="shared" ref="D41:L41" si="11">SUM(D37:D39)</f>
        <v>0</v>
      </c>
      <c r="E41" s="69">
        <f t="shared" si="11"/>
        <v>0</v>
      </c>
      <c r="F41" s="69">
        <f t="shared" si="11"/>
        <v>0</v>
      </c>
      <c r="G41" s="69">
        <f t="shared" ref="G41" si="12">SUM(G37:G39)</f>
        <v>0</v>
      </c>
      <c r="H41" s="69">
        <f t="shared" si="11"/>
        <v>37055</v>
      </c>
      <c r="I41" s="69">
        <f t="shared" si="11"/>
        <v>0</v>
      </c>
      <c r="J41" s="69">
        <f t="shared" si="11"/>
        <v>27735</v>
      </c>
      <c r="K41" s="69">
        <f t="shared" si="11"/>
        <v>60305</v>
      </c>
      <c r="L41" s="69">
        <f t="shared" si="11"/>
        <v>126931</v>
      </c>
      <c r="M41" s="70"/>
    </row>
    <row r="42" spans="2:40" x14ac:dyDescent="0.25">
      <c r="B42" s="24"/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2:40" ht="15.75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6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50"/>
  <sheetViews>
    <sheetView zoomScale="60" zoomScaleNormal="60" workbookViewId="0">
      <selection activeCell="L20" sqref="L20:M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4.5703125" style="1" bestFit="1" customWidth="1"/>
    <col min="4" max="4" width="13.42578125" style="1" bestFit="1" customWidth="1"/>
    <col min="5" max="5" width="10.7109375" style="1" bestFit="1" customWidth="1"/>
    <col min="6" max="6" width="16.42578125" style="1" bestFit="1" customWidth="1"/>
    <col min="7" max="7" width="16.42578125" style="1" customWidth="1"/>
    <col min="8" max="8" width="15" style="1" bestFit="1" customWidth="1"/>
    <col min="9" max="9" width="12" style="1" bestFit="1" customWidth="1"/>
    <col min="10" max="10" width="27.140625" style="1" customWidth="1"/>
    <col min="11" max="11" width="17.7109375" style="1" customWidth="1"/>
    <col min="12" max="12" width="20.42578125" style="1" customWidth="1"/>
    <col min="13" max="13" width="21.85546875" style="1" customWidth="1"/>
    <col min="14" max="14" width="25.5703125" style="1" customWidth="1"/>
    <col min="15" max="15" width="9.140625" style="1"/>
    <col min="16" max="16" width="10.7109375" style="1" bestFit="1" customWidth="1"/>
    <col min="17" max="17" width="9.140625" style="1"/>
    <col min="18" max="18" width="36" style="1" bestFit="1" customWidth="1"/>
    <col min="19" max="19" width="14.7109375" style="1" bestFit="1" customWidth="1"/>
    <col min="20" max="20" width="10.5703125" style="1" bestFit="1" customWidth="1"/>
    <col min="21" max="16384" width="9.140625" style="1"/>
  </cols>
  <sheetData>
    <row r="1" spans="2:23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3"/>
      <c r="I1" s="4"/>
      <c r="J1" s="5" t="s">
        <v>2</v>
      </c>
      <c r="K1" s="5" t="s">
        <v>3</v>
      </c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1"/>
    </row>
    <row r="2" spans="2:23" s="7" customFormat="1" ht="60" x14ac:dyDescent="0.25">
      <c r="B2" s="8"/>
      <c r="C2" s="9" t="s">
        <v>61</v>
      </c>
      <c r="D2" s="9" t="s">
        <v>56</v>
      </c>
      <c r="E2" s="9" t="s">
        <v>59</v>
      </c>
      <c r="F2" s="10" t="s">
        <v>60</v>
      </c>
      <c r="G2" s="10" t="s">
        <v>58</v>
      </c>
      <c r="H2" s="10" t="s">
        <v>104</v>
      </c>
      <c r="I2" s="10" t="s">
        <v>25</v>
      </c>
      <c r="J2" s="11" t="s">
        <v>4</v>
      </c>
      <c r="K2" s="11" t="s">
        <v>5</v>
      </c>
      <c r="M2" s="12" t="s">
        <v>6</v>
      </c>
      <c r="N2" s="13"/>
      <c r="O2" s="6"/>
      <c r="P2" s="6"/>
      <c r="Q2" s="6"/>
      <c r="R2" s="6"/>
      <c r="S2" s="6"/>
      <c r="T2" s="6"/>
      <c r="U2" s="6"/>
      <c r="V2" s="6"/>
      <c r="W2" s="1"/>
    </row>
    <row r="3" spans="2:23" s="7" customFormat="1" x14ac:dyDescent="0.25">
      <c r="B3" s="14" t="s">
        <v>7</v>
      </c>
      <c r="C3" s="15"/>
      <c r="D3" s="15"/>
      <c r="E3" s="15"/>
      <c r="F3" s="15"/>
      <c r="G3" s="15"/>
      <c r="H3" s="15"/>
      <c r="I3" s="15"/>
      <c r="J3" s="16"/>
      <c r="K3" s="16"/>
      <c r="L3" s="17"/>
      <c r="M3" s="18"/>
      <c r="N3" s="1"/>
      <c r="O3" s="6"/>
      <c r="P3" s="6"/>
      <c r="Q3" s="6"/>
      <c r="T3" s="7" t="s">
        <v>51</v>
      </c>
      <c r="V3" s="6"/>
      <c r="W3" s="1"/>
    </row>
    <row r="4" spans="2:23" s="7" customFormat="1" x14ac:dyDescent="0.25">
      <c r="B4" s="19" t="s">
        <v>8</v>
      </c>
      <c r="C4" s="217">
        <f>'[1]FjVprod 2013'!C21</f>
        <v>0</v>
      </c>
      <c r="D4" s="217">
        <f>'[1]FjVprod 2013'!D21</f>
        <v>0</v>
      </c>
      <c r="E4" s="217">
        <f>'[1]FjVprod 2013'!E21</f>
        <v>0</v>
      </c>
      <c r="F4" s="217">
        <f>'[1]FjVprod 2013'!F21</f>
        <v>0</v>
      </c>
      <c r="G4" s="217"/>
      <c r="H4" s="217">
        <v>0</v>
      </c>
      <c r="I4" s="217">
        <v>0</v>
      </c>
      <c r="J4" s="217">
        <v>0</v>
      </c>
      <c r="K4" s="212">
        <v>0</v>
      </c>
      <c r="L4" s="167">
        <f>K4/(K4+K5)</f>
        <v>0</v>
      </c>
      <c r="M4" s="71">
        <f>J4-K4</f>
        <v>0</v>
      </c>
      <c r="N4" s="1"/>
      <c r="O4" s="6"/>
      <c r="P4" s="6"/>
      <c r="Q4" s="6"/>
      <c r="R4" s="51" t="s">
        <v>105</v>
      </c>
      <c r="S4" s="21">
        <f>L20</f>
        <v>303504.35339283547</v>
      </c>
      <c r="T4" s="171">
        <f>S4/1000</f>
        <v>303.50435339283547</v>
      </c>
      <c r="U4" s="172"/>
      <c r="W4" s="1"/>
    </row>
    <row r="5" spans="2:23" s="7" customFormat="1" ht="17.25" x14ac:dyDescent="0.4">
      <c r="B5" s="19" t="s">
        <v>9</v>
      </c>
      <c r="C5" s="165">
        <f>'[1]FjVprod 2013'!C22</f>
        <v>3468.5221091268299</v>
      </c>
      <c r="D5" s="165">
        <f>'[1]FjVprod 2013'!D22</f>
        <v>7206.7144369797588</v>
      </c>
      <c r="E5" s="165">
        <f>'[1]FjVprod 2013'!E22</f>
        <v>0</v>
      </c>
      <c r="F5" s="165">
        <f>'[1]FjVprod 2013'!F22</f>
        <v>2184.7052095498775</v>
      </c>
      <c r="G5" s="165"/>
      <c r="H5" s="165">
        <v>52660.437227542207</v>
      </c>
      <c r="I5" s="165">
        <v>0</v>
      </c>
      <c r="J5" s="165">
        <v>65520.378983198672</v>
      </c>
      <c r="K5" s="156">
        <v>51405.739355665719</v>
      </c>
      <c r="L5" s="167">
        <f>K5/(K4+K5)</f>
        <v>1</v>
      </c>
      <c r="M5" s="71">
        <f>J5-K5</f>
        <v>14114.639627532953</v>
      </c>
      <c r="N5" s="1"/>
      <c r="O5" s="6"/>
      <c r="P5" s="6"/>
      <c r="Q5" s="6"/>
      <c r="R5" s="7" t="s">
        <v>106</v>
      </c>
      <c r="S5" s="21">
        <f>IF(K28&gt;0,0,K28)*-1</f>
        <v>877474.12310200988</v>
      </c>
      <c r="T5" s="171">
        <f>S5/1000</f>
        <v>877.47412310200991</v>
      </c>
      <c r="W5" s="1"/>
    </row>
    <row r="6" spans="2:23" s="7" customFormat="1" x14ac:dyDescent="0.25">
      <c r="B6" s="19" t="s">
        <v>10</v>
      </c>
      <c r="C6" s="217">
        <f>'[1]FjVprod 2013'!C23</f>
        <v>0</v>
      </c>
      <c r="D6" s="217">
        <f>'[1]FjVprod 2013'!D23</f>
        <v>0</v>
      </c>
      <c r="E6" s="217">
        <f>'[1]FjVprod 2013'!E23</f>
        <v>0</v>
      </c>
      <c r="F6" s="217">
        <f>'[1]FjVprod 2013'!F23</f>
        <v>0</v>
      </c>
      <c r="G6" s="217"/>
      <c r="H6" s="217">
        <v>0</v>
      </c>
      <c r="I6" s="217">
        <v>0</v>
      </c>
      <c r="J6" s="217">
        <v>0</v>
      </c>
      <c r="K6" s="212">
        <v>0</v>
      </c>
      <c r="L6" s="119"/>
      <c r="M6" s="71"/>
      <c r="N6" s="1"/>
      <c r="O6" s="6"/>
      <c r="P6" s="6"/>
      <c r="Q6" s="6"/>
      <c r="R6" s="51" t="s">
        <v>104</v>
      </c>
      <c r="S6" s="171">
        <f>H10+H20+H40</f>
        <v>740267.43722754228</v>
      </c>
      <c r="T6" s="171">
        <f>S6/1000</f>
        <v>740.26743722754225</v>
      </c>
      <c r="U6" s="172"/>
      <c r="W6" s="1"/>
    </row>
    <row r="7" spans="2:23" s="7" customFormat="1" x14ac:dyDescent="0.25">
      <c r="B7" s="19" t="s">
        <v>11</v>
      </c>
      <c r="C7" s="217">
        <f>'[1]FjVprod 2013'!C24</f>
        <v>0</v>
      </c>
      <c r="D7" s="217">
        <f>'[1]FjVprod 2013'!D24</f>
        <v>0</v>
      </c>
      <c r="E7" s="217">
        <f>'[1]FjVprod 2013'!E24</f>
        <v>0</v>
      </c>
      <c r="F7" s="217">
        <f>'[1]FjVprod 2013'!F24</f>
        <v>0</v>
      </c>
      <c r="G7" s="217"/>
      <c r="H7" s="217">
        <v>0</v>
      </c>
      <c r="I7" s="217">
        <v>0</v>
      </c>
      <c r="J7" s="217">
        <v>0</v>
      </c>
      <c r="K7" s="212">
        <v>0</v>
      </c>
      <c r="L7" s="119"/>
      <c r="M7" s="71"/>
      <c r="N7" s="1"/>
      <c r="O7" s="6"/>
      <c r="P7" s="6"/>
      <c r="Q7" s="6"/>
      <c r="R7" s="51" t="s">
        <v>56</v>
      </c>
      <c r="S7" s="171">
        <f>D10+D20+D40</f>
        <v>7206.7144369797588</v>
      </c>
      <c r="T7" s="171">
        <f>S7/1000</f>
        <v>7.2067144369797589</v>
      </c>
      <c r="U7" s="172"/>
      <c r="V7" s="6"/>
      <c r="W7" s="1"/>
    </row>
    <row r="8" spans="2:23" s="7" customFormat="1" ht="17.25" x14ac:dyDescent="0.4">
      <c r="B8" s="19" t="s">
        <v>12</v>
      </c>
      <c r="C8" s="217">
        <f>'[1]FjVprod 2013'!C25</f>
        <v>0</v>
      </c>
      <c r="D8" s="217">
        <f>'[1]FjVprod 2013'!D25</f>
        <v>0</v>
      </c>
      <c r="E8" s="217">
        <f>'[1]FjVprod 2013'!E25</f>
        <v>0</v>
      </c>
      <c r="F8" s="217">
        <f>'[1]FjVprod 2013'!F25</f>
        <v>0</v>
      </c>
      <c r="G8" s="217"/>
      <c r="H8" s="217">
        <v>0</v>
      </c>
      <c r="I8" s="217">
        <v>0</v>
      </c>
      <c r="J8" s="217">
        <v>0</v>
      </c>
      <c r="K8" s="156">
        <v>1279.654227421622</v>
      </c>
      <c r="L8" s="119"/>
      <c r="M8" s="71"/>
      <c r="N8" s="1"/>
      <c r="O8" s="6"/>
      <c r="P8" s="6"/>
      <c r="Q8" s="6"/>
      <c r="R8" s="51" t="s">
        <v>58</v>
      </c>
      <c r="S8" s="171">
        <f>G10+G20+G40</f>
        <v>1711000</v>
      </c>
      <c r="T8" s="171">
        <f t="shared" ref="T8:T12" si="0">S8/1000</f>
        <v>1711</v>
      </c>
      <c r="U8" s="172"/>
      <c r="V8" s="6"/>
      <c r="W8" s="1"/>
    </row>
    <row r="9" spans="2:23" s="7" customFormat="1" ht="17.25" x14ac:dyDescent="0.4">
      <c r="B9" s="19" t="s">
        <v>13</v>
      </c>
      <c r="C9" s="217">
        <f>'[1]FjVprod 2013'!C26</f>
        <v>0</v>
      </c>
      <c r="D9" s="217">
        <f>'[1]FjVprod 2013'!D26</f>
        <v>0</v>
      </c>
      <c r="E9" s="217">
        <f>'[1]FjVprod 2013'!E26</f>
        <v>0</v>
      </c>
      <c r="F9" s="217">
        <f>'[1]FjVprod 2013'!F26</f>
        <v>0</v>
      </c>
      <c r="G9" s="217"/>
      <c r="H9" s="217">
        <v>0</v>
      </c>
      <c r="I9" s="217">
        <v>0</v>
      </c>
      <c r="J9" s="217">
        <v>0</v>
      </c>
      <c r="K9" s="156">
        <v>12182.606416912658</v>
      </c>
      <c r="L9" s="119"/>
      <c r="M9" s="71"/>
      <c r="N9" s="1"/>
      <c r="O9" s="6"/>
      <c r="P9" s="6"/>
      <c r="Q9" s="6"/>
      <c r="R9" s="51" t="s">
        <v>59</v>
      </c>
      <c r="S9" s="171">
        <f>E10+E20+E40</f>
        <v>3243.6</v>
      </c>
      <c r="T9" s="171">
        <f t="shared" si="0"/>
        <v>3.2435999999999998</v>
      </c>
      <c r="U9" s="172"/>
      <c r="V9" s="6"/>
      <c r="W9" s="1"/>
    </row>
    <row r="10" spans="2:23" s="7" customFormat="1" ht="17.25" x14ac:dyDescent="0.4">
      <c r="B10" s="19" t="s">
        <v>14</v>
      </c>
      <c r="C10" s="156">
        <f t="shared" ref="C10:F10" si="1">SUM(C4:C9)</f>
        <v>3468.5221091268299</v>
      </c>
      <c r="D10" s="156">
        <f t="shared" si="1"/>
        <v>7206.7144369797588</v>
      </c>
      <c r="E10" s="156">
        <f t="shared" si="1"/>
        <v>0</v>
      </c>
      <c r="F10" s="156">
        <f t="shared" si="1"/>
        <v>2184.7052095498775</v>
      </c>
      <c r="G10" s="156"/>
      <c r="H10" s="156">
        <v>52660.437227542207</v>
      </c>
      <c r="I10" s="156">
        <v>0</v>
      </c>
      <c r="J10" s="156">
        <v>65520.378983198672</v>
      </c>
      <c r="K10" s="156">
        <v>64868</v>
      </c>
      <c r="L10" s="119"/>
      <c r="M10" s="71">
        <f>SUM(M4:M9)</f>
        <v>14114.639627532953</v>
      </c>
      <c r="N10" s="1"/>
      <c r="O10" s="6"/>
      <c r="P10" s="6"/>
      <c r="Q10" s="6"/>
      <c r="R10" s="51" t="s">
        <v>25</v>
      </c>
      <c r="S10" s="171">
        <f>I10+I20+I40</f>
        <v>39000</v>
      </c>
      <c r="T10" s="171">
        <f t="shared" si="0"/>
        <v>39</v>
      </c>
      <c r="U10" s="172"/>
      <c r="V10" s="6"/>
      <c r="W10" s="1"/>
    </row>
    <row r="11" spans="2:23" s="7" customFormat="1" x14ac:dyDescent="0.25">
      <c r="B11" s="22"/>
      <c r="C11" s="135"/>
      <c r="D11" s="135"/>
      <c r="E11" s="135"/>
      <c r="F11" s="135"/>
      <c r="G11" s="135"/>
      <c r="H11" s="135"/>
      <c r="I11" s="135"/>
      <c r="J11" s="135"/>
      <c r="K11" s="75"/>
      <c r="L11" s="76"/>
      <c r="M11" s="120"/>
      <c r="N11" s="1"/>
      <c r="O11" s="6"/>
      <c r="P11" s="6"/>
      <c r="Q11" s="6"/>
      <c r="R11" s="51" t="s">
        <v>60</v>
      </c>
      <c r="S11" s="171">
        <f>F10+F20+F40</f>
        <v>6070.7052095498775</v>
      </c>
      <c r="T11" s="171">
        <f t="shared" si="0"/>
        <v>6.0707052095498772</v>
      </c>
      <c r="U11" s="172"/>
      <c r="V11" s="6"/>
      <c r="W11" s="1"/>
    </row>
    <row r="12" spans="2:23" s="7" customFormat="1" x14ac:dyDescent="0.25">
      <c r="B12" s="23" t="s">
        <v>15</v>
      </c>
      <c r="C12" s="75"/>
      <c r="D12" s="75"/>
      <c r="E12" s="75"/>
      <c r="F12" s="75"/>
      <c r="G12" s="75"/>
      <c r="H12" s="75"/>
      <c r="I12" s="75"/>
      <c r="J12" s="119"/>
      <c r="K12" s="119">
        <v>0</v>
      </c>
      <c r="L12" s="76"/>
      <c r="M12" s="120"/>
      <c r="N12" s="1"/>
      <c r="O12" s="6"/>
      <c r="P12" s="6"/>
      <c r="Q12" s="6"/>
      <c r="R12" s="51" t="s">
        <v>61</v>
      </c>
      <c r="S12" s="171">
        <f>C10+C20+C40</f>
        <v>249732.02210912682</v>
      </c>
      <c r="T12" s="171">
        <f t="shared" si="0"/>
        <v>249.73202210912683</v>
      </c>
      <c r="U12" s="172"/>
      <c r="V12" s="6"/>
      <c r="W12" s="1"/>
    </row>
    <row r="13" spans="2:23" x14ac:dyDescent="0.25">
      <c r="B13" s="2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21"/>
      <c r="N13" s="6"/>
      <c r="R13" s="173" t="s">
        <v>108</v>
      </c>
      <c r="S13" s="171">
        <f>SUM(S4:S12)</f>
        <v>3937498.9554780442</v>
      </c>
      <c r="T13" s="171">
        <f>SUM(T4:T12)</f>
        <v>3937.4989554780441</v>
      </c>
      <c r="U13" s="172"/>
    </row>
    <row r="14" spans="2:23" ht="18.75" x14ac:dyDescent="0.3">
      <c r="B14" s="26" t="s">
        <v>16</v>
      </c>
      <c r="C14" s="122"/>
      <c r="D14" s="122"/>
      <c r="E14" s="122"/>
      <c r="F14" s="122"/>
      <c r="G14" s="122"/>
      <c r="H14" s="122"/>
      <c r="I14" s="122"/>
      <c r="J14" s="122"/>
      <c r="K14" s="101" t="s">
        <v>17</v>
      </c>
      <c r="L14" s="123" t="s">
        <v>18</v>
      </c>
      <c r="M14" s="124"/>
      <c r="N14" s="27" t="s">
        <v>19</v>
      </c>
      <c r="O14" s="28"/>
      <c r="R14" t="s">
        <v>109</v>
      </c>
      <c r="S14" s="59">
        <f>K8</f>
        <v>1279.654227421622</v>
      </c>
      <c r="T14" s="59">
        <f>S14/1000</f>
        <v>1.279654227421622</v>
      </c>
      <c r="U14" s="172"/>
      <c r="V14"/>
    </row>
    <row r="15" spans="2:23" x14ac:dyDescent="0.25">
      <c r="B15" s="19" t="s">
        <v>20</v>
      </c>
      <c r="C15" s="73">
        <v>0</v>
      </c>
      <c r="D15" s="73">
        <v>0</v>
      </c>
      <c r="E15" s="73">
        <v>0</v>
      </c>
      <c r="F15" s="73">
        <v>0</v>
      </c>
      <c r="G15" s="73"/>
      <c r="H15" s="73">
        <v>0</v>
      </c>
      <c r="I15" s="73">
        <v>0</v>
      </c>
      <c r="J15" s="73">
        <v>0</v>
      </c>
      <c r="K15" s="73">
        <v>0</v>
      </c>
      <c r="L15" s="125">
        <f>K15/(1-N15)</f>
        <v>0</v>
      </c>
      <c r="M15" s="126">
        <f>J15-L15</f>
        <v>0</v>
      </c>
      <c r="N15" s="29">
        <v>0.03</v>
      </c>
      <c r="P15" s="30"/>
      <c r="R15" t="s">
        <v>110</v>
      </c>
      <c r="S15" s="59">
        <f>K9</f>
        <v>12182.606416912658</v>
      </c>
      <c r="T15" s="59">
        <f t="shared" ref="T15:T16" si="2">S15/1000</f>
        <v>12.182606416912659</v>
      </c>
      <c r="U15" s="172"/>
      <c r="V15"/>
    </row>
    <row r="16" spans="2:23" ht="17.25" x14ac:dyDescent="0.4">
      <c r="B16" s="19" t="s">
        <v>21</v>
      </c>
      <c r="C16" s="128">
        <v>16343</v>
      </c>
      <c r="D16" s="73">
        <v>0</v>
      </c>
      <c r="E16" s="73">
        <v>0</v>
      </c>
      <c r="G16" s="73">
        <v>230856</v>
      </c>
      <c r="H16" s="73">
        <v>99901</v>
      </c>
      <c r="I16" s="73">
        <v>0</v>
      </c>
      <c r="J16" s="73">
        <v>347100</v>
      </c>
      <c r="K16" s="118">
        <v>279415.5</v>
      </c>
      <c r="L16" s="125">
        <f>K16/(1-N16)</f>
        <v>288057.21649484534</v>
      </c>
      <c r="M16" s="126">
        <f>J16-L16</f>
        <v>59042.783505154657</v>
      </c>
      <c r="N16" s="29">
        <v>0.03</v>
      </c>
      <c r="P16" s="30"/>
      <c r="R16" t="s">
        <v>111</v>
      </c>
      <c r="S16" s="59">
        <f>K6+K7</f>
        <v>0</v>
      </c>
      <c r="T16" s="59">
        <f t="shared" si="2"/>
        <v>0</v>
      </c>
      <c r="U16" s="172"/>
      <c r="V16" s="6"/>
    </row>
    <row r="17" spans="2:23" x14ac:dyDescent="0.25">
      <c r="B17" s="19" t="s">
        <v>22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125">
        <f>K17/(1-N17)</f>
        <v>0</v>
      </c>
      <c r="M17" s="126">
        <f>J17-L17</f>
        <v>0</v>
      </c>
      <c r="N17" s="29">
        <v>0.03</v>
      </c>
      <c r="P17" s="30"/>
      <c r="R17" t="s">
        <v>112</v>
      </c>
      <c r="S17" s="59">
        <f>SUM(S13:S16)</f>
        <v>3950961.2161223786</v>
      </c>
      <c r="T17" s="59">
        <f>SUM(T13:T16)</f>
        <v>3950.9612161223786</v>
      </c>
      <c r="U17" s="172"/>
      <c r="V17" s="6"/>
      <c r="W17" s="6"/>
    </row>
    <row r="18" spans="2:23" x14ac:dyDescent="0.25">
      <c r="B18" s="19" t="s">
        <v>23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125">
        <f>K18/(1-N18)</f>
        <v>0</v>
      </c>
      <c r="M18" s="126"/>
      <c r="N18" s="31">
        <v>8.0000000000000002E-3</v>
      </c>
      <c r="P18" s="30"/>
      <c r="R18"/>
      <c r="S18"/>
      <c r="T18"/>
      <c r="U18"/>
      <c r="V18" s="6"/>
    </row>
    <row r="19" spans="2:23" ht="17.25" x14ac:dyDescent="0.4">
      <c r="B19" s="19" t="s">
        <v>24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118">
        <v>15447.13689799014</v>
      </c>
      <c r="L19" s="125">
        <f>K19/(1-N19)</f>
        <v>15447.13689799014</v>
      </c>
      <c r="M19" s="126"/>
      <c r="N19" s="1">
        <v>0</v>
      </c>
      <c r="P19" s="30"/>
      <c r="R19" s="19" t="s">
        <v>113</v>
      </c>
      <c r="S19" s="21">
        <f>IF(K28&lt;0,0,K28)</f>
        <v>0</v>
      </c>
      <c r="T19" s="171">
        <f t="shared" ref="T19:T25" si="3">S19/1000</f>
        <v>0</v>
      </c>
      <c r="U19"/>
      <c r="V19" s="6"/>
    </row>
    <row r="20" spans="2:23" ht="17.25" x14ac:dyDescent="0.4">
      <c r="B20" s="19" t="s">
        <v>14</v>
      </c>
      <c r="C20" s="128">
        <f t="shared" ref="C20:J20" si="4">SUM(C15:C19)</f>
        <v>16343</v>
      </c>
      <c r="D20" s="73">
        <f t="shared" si="4"/>
        <v>0</v>
      </c>
      <c r="E20" s="73">
        <f t="shared" si="4"/>
        <v>0</v>
      </c>
      <c r="F20" s="73">
        <f t="shared" si="4"/>
        <v>0</v>
      </c>
      <c r="G20" s="73">
        <f t="shared" ref="G20" si="5">SUM(G15:G19)</f>
        <v>230856</v>
      </c>
      <c r="H20" s="73">
        <f t="shared" si="4"/>
        <v>99901</v>
      </c>
      <c r="I20" s="73">
        <f t="shared" si="4"/>
        <v>0</v>
      </c>
      <c r="J20" s="73">
        <f t="shared" si="4"/>
        <v>347100</v>
      </c>
      <c r="K20" s="118">
        <f>SUM(K15:K19)</f>
        <v>294862.63689799013</v>
      </c>
      <c r="L20" s="86">
        <f>SUM(L15:L19)</f>
        <v>303504.35339283547</v>
      </c>
      <c r="M20" s="86">
        <f>SUM(M15:M19)</f>
        <v>59042.783505154657</v>
      </c>
      <c r="N20" s="32"/>
      <c r="O20" s="33"/>
      <c r="P20" s="30"/>
      <c r="R20" s="19" t="s">
        <v>35</v>
      </c>
      <c r="S20" s="174">
        <f>L32</f>
        <v>1890</v>
      </c>
      <c r="T20" s="171">
        <f t="shared" si="3"/>
        <v>1.89</v>
      </c>
      <c r="U20"/>
      <c r="V20" s="6"/>
    </row>
    <row r="21" spans="2:23" x14ac:dyDescent="0.25">
      <c r="B21" s="24"/>
      <c r="C21" s="73"/>
      <c r="D21" s="73"/>
      <c r="E21" s="73"/>
      <c r="F21" s="73"/>
      <c r="G21" s="73"/>
      <c r="H21" s="73"/>
      <c r="I21" s="73"/>
      <c r="J21" s="73"/>
      <c r="K21" s="73"/>
      <c r="L21" s="70"/>
      <c r="M21" s="121"/>
      <c r="N21" s="30"/>
      <c r="R21" s="19" t="s">
        <v>36</v>
      </c>
      <c r="S21" s="174">
        <f>L33</f>
        <v>3273460.6</v>
      </c>
      <c r="T21" s="171">
        <f t="shared" si="3"/>
        <v>3273.4605999999999</v>
      </c>
      <c r="U21" s="172"/>
    </row>
    <row r="22" spans="2:23" x14ac:dyDescent="0.25">
      <c r="B22" s="2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121"/>
      <c r="R22" s="19" t="s">
        <v>37</v>
      </c>
      <c r="S22" s="174">
        <f>L34</f>
        <v>25175</v>
      </c>
      <c r="T22" s="171">
        <f t="shared" si="3"/>
        <v>25.175000000000001</v>
      </c>
      <c r="U22" s="172"/>
    </row>
    <row r="23" spans="2:23" ht="15.75" thickBot="1" x14ac:dyDescent="0.3">
      <c r="B23" s="35" t="s">
        <v>25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27"/>
      <c r="R23" s="19" t="s">
        <v>38</v>
      </c>
      <c r="S23" s="174">
        <f>L35</f>
        <v>47130</v>
      </c>
      <c r="T23" s="171">
        <f t="shared" si="3"/>
        <v>47.13</v>
      </c>
      <c r="U23" s="172"/>
    </row>
    <row r="24" spans="2:23" x14ac:dyDescent="0.25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R24" s="19" t="s">
        <v>39</v>
      </c>
      <c r="S24" s="174">
        <f>L36</f>
        <v>24479.5</v>
      </c>
      <c r="T24" s="171">
        <f t="shared" si="3"/>
        <v>24.479500000000002</v>
      </c>
      <c r="U24" s="172"/>
    </row>
    <row r="25" spans="2:23" ht="15.75" thickBot="1" x14ac:dyDescent="0.3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R25" s="19" t="s">
        <v>44</v>
      </c>
      <c r="S25" s="174">
        <f>L41</f>
        <v>112473</v>
      </c>
      <c r="T25" s="171">
        <f t="shared" si="3"/>
        <v>112.473</v>
      </c>
      <c r="U25" s="172"/>
    </row>
    <row r="26" spans="2:23" ht="15.75" thickBot="1" x14ac:dyDescent="0.3">
      <c r="B26" s="8"/>
      <c r="C26" s="90"/>
      <c r="D26" s="90"/>
      <c r="E26" s="90"/>
      <c r="F26" s="90"/>
      <c r="G26" s="90"/>
      <c r="H26" s="90"/>
      <c r="I26" s="70"/>
      <c r="J26" s="91" t="s">
        <v>26</v>
      </c>
      <c r="K26" s="92" t="s">
        <v>27</v>
      </c>
      <c r="L26" s="70"/>
      <c r="M26" s="70"/>
      <c r="N26" s="38" t="s">
        <v>28</v>
      </c>
      <c r="R26" s="19" t="s">
        <v>114</v>
      </c>
      <c r="S26" s="60">
        <f>SUM(S20:S25)</f>
        <v>3484608.1</v>
      </c>
      <c r="T26" s="60">
        <f>SUM(T20:T25)</f>
        <v>3484.6080999999999</v>
      </c>
      <c r="U26" s="172"/>
    </row>
    <row r="27" spans="2:23" x14ac:dyDescent="0.25">
      <c r="B27" s="39" t="s">
        <v>29</v>
      </c>
      <c r="C27" s="73"/>
      <c r="D27" s="73"/>
      <c r="E27" s="73"/>
      <c r="F27" s="73"/>
      <c r="G27" s="73"/>
      <c r="H27" s="73"/>
      <c r="I27" s="70"/>
      <c r="J27" s="69">
        <f>K10-J40</f>
        <v>9657</v>
      </c>
      <c r="K27" s="134">
        <f>K40*8%</f>
        <v>86839.76</v>
      </c>
      <c r="L27" s="70"/>
      <c r="M27" s="70"/>
      <c r="N27" s="40">
        <f>100-(J40/K10*100)</f>
        <v>14.887155454153046</v>
      </c>
      <c r="R27" s="175" t="s">
        <v>115</v>
      </c>
      <c r="S27" s="176"/>
      <c r="T27" s="177">
        <f t="shared" ref="T27:T34" si="6">S27/1000</f>
        <v>0</v>
      </c>
      <c r="U27" s="172"/>
    </row>
    <row r="28" spans="2:23" ht="15.75" thickBot="1" x14ac:dyDescent="0.3">
      <c r="B28" s="35" t="s">
        <v>30</v>
      </c>
      <c r="C28" s="93"/>
      <c r="D28" s="93"/>
      <c r="E28" s="93"/>
      <c r="F28" s="93"/>
      <c r="G28" s="93"/>
      <c r="H28" s="93"/>
      <c r="I28" s="93"/>
      <c r="J28" s="94">
        <f>J40+J27-K10</f>
        <v>0</v>
      </c>
      <c r="K28" s="95">
        <f>K20-K27-K40</f>
        <v>-877474.12310200988</v>
      </c>
      <c r="L28" s="70"/>
      <c r="M28" s="70"/>
      <c r="N28" s="1" t="str">
        <f>IF(N27&gt;10,"OBS! HÖGA FÖRLUSTER","OK")</f>
        <v>OBS! HÖGA FÖRLUSTER</v>
      </c>
      <c r="R28" s="51" t="s">
        <v>116</v>
      </c>
      <c r="S28" s="52">
        <f>K27</f>
        <v>86839.76</v>
      </c>
      <c r="T28" s="178">
        <f t="shared" si="6"/>
        <v>86.839759999999998</v>
      </c>
      <c r="U28" s="172"/>
    </row>
    <row r="29" spans="2:23" ht="15.75" thickBot="1" x14ac:dyDescent="0.3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R29" s="51" t="s">
        <v>117</v>
      </c>
      <c r="S29" s="52">
        <f>J27</f>
        <v>9657</v>
      </c>
      <c r="T29" s="178">
        <f t="shared" si="6"/>
        <v>9.657</v>
      </c>
      <c r="U29" s="50"/>
    </row>
    <row r="30" spans="2:23" ht="15.75" thickBot="1" x14ac:dyDescent="0.3">
      <c r="B30" s="8"/>
      <c r="C30" s="96" t="s">
        <v>0</v>
      </c>
      <c r="D30" s="96"/>
      <c r="E30" s="96"/>
      <c r="F30" s="96" t="s">
        <v>1</v>
      </c>
      <c r="G30" s="96"/>
      <c r="H30" s="96"/>
      <c r="I30" s="90"/>
      <c r="J30" s="90"/>
      <c r="K30" s="90"/>
      <c r="L30" s="97"/>
      <c r="M30" s="70"/>
      <c r="R30" s="51" t="s">
        <v>118</v>
      </c>
      <c r="S30" s="52">
        <f>L20-K20</f>
        <v>8641.7164948453428</v>
      </c>
      <c r="T30" s="178">
        <f t="shared" si="6"/>
        <v>8.6417164948453422</v>
      </c>
      <c r="U30" s="55"/>
    </row>
    <row r="31" spans="2:23" ht="30" x14ac:dyDescent="0.25">
      <c r="B31" s="41" t="s">
        <v>31</v>
      </c>
      <c r="C31" s="9" t="s">
        <v>61</v>
      </c>
      <c r="D31" s="9" t="s">
        <v>56</v>
      </c>
      <c r="E31" s="9" t="s">
        <v>59</v>
      </c>
      <c r="F31" s="10" t="s">
        <v>60</v>
      </c>
      <c r="G31" s="10" t="s">
        <v>58</v>
      </c>
      <c r="H31" s="10" t="s">
        <v>104</v>
      </c>
      <c r="I31" s="10" t="s">
        <v>25</v>
      </c>
      <c r="J31" s="98" t="s">
        <v>32</v>
      </c>
      <c r="K31" s="98" t="s">
        <v>33</v>
      </c>
      <c r="L31" s="99" t="s">
        <v>34</v>
      </c>
      <c r="M31" s="70"/>
      <c r="R31" s="51" t="s">
        <v>119</v>
      </c>
      <c r="S31" s="52">
        <f>M4</f>
        <v>0</v>
      </c>
      <c r="T31" s="178">
        <f t="shared" si="6"/>
        <v>0</v>
      </c>
      <c r="U31" s="55"/>
    </row>
    <row r="32" spans="2:23" x14ac:dyDescent="0.25">
      <c r="B32" s="19" t="s">
        <v>35</v>
      </c>
      <c r="C32" s="73">
        <v>836</v>
      </c>
      <c r="D32" s="73">
        <v>0</v>
      </c>
      <c r="E32" s="73">
        <v>0</v>
      </c>
      <c r="F32" s="73">
        <v>91</v>
      </c>
      <c r="G32" s="73"/>
      <c r="H32" s="73">
        <v>0</v>
      </c>
      <c r="I32" s="73">
        <v>0</v>
      </c>
      <c r="J32" s="73">
        <v>0</v>
      </c>
      <c r="K32" s="73">
        <v>963</v>
      </c>
      <c r="L32" s="71">
        <f>SUM(C32:K32)</f>
        <v>1890</v>
      </c>
      <c r="M32" s="70"/>
      <c r="R32" s="51" t="s">
        <v>120</v>
      </c>
      <c r="S32" s="52">
        <f>M5</f>
        <v>14114.639627532953</v>
      </c>
      <c r="T32" s="178">
        <f t="shared" si="6"/>
        <v>14.114639627532954</v>
      </c>
      <c r="U32"/>
    </row>
    <row r="33" spans="2:40" ht="17.25" x14ac:dyDescent="0.4">
      <c r="B33" s="19" t="s">
        <v>36</v>
      </c>
      <c r="C33" s="118">
        <v>184657</v>
      </c>
      <c r="D33" s="73">
        <v>0</v>
      </c>
      <c r="E33" s="118">
        <v>3243.6</v>
      </c>
      <c r="G33" s="118">
        <v>1480144</v>
      </c>
      <c r="H33" s="169">
        <v>575099</v>
      </c>
      <c r="I33" s="118">
        <v>39000</v>
      </c>
      <c r="J33" s="73">
        <v>0</v>
      </c>
      <c r="K33" s="118">
        <v>991317</v>
      </c>
      <c r="L33" s="129">
        <f t="shared" ref="L33:L40" si="7">SUM(C33:K33)</f>
        <v>3273460.6</v>
      </c>
      <c r="M33" s="70"/>
      <c r="R33" s="51" t="s">
        <v>121</v>
      </c>
      <c r="S33" s="52">
        <f>M15</f>
        <v>0</v>
      </c>
      <c r="T33" s="178">
        <f t="shared" si="6"/>
        <v>0</v>
      </c>
      <c r="U33" s="55"/>
    </row>
    <row r="34" spans="2:40" ht="18" thickBot="1" x14ac:dyDescent="0.45">
      <c r="B34" s="19" t="s">
        <v>37</v>
      </c>
      <c r="C34" s="73">
        <v>277</v>
      </c>
      <c r="D34" s="73">
        <v>0</v>
      </c>
      <c r="E34" s="73">
        <v>0</v>
      </c>
      <c r="F34" s="73">
        <v>0</v>
      </c>
      <c r="G34" s="73"/>
      <c r="H34" s="73">
        <v>0</v>
      </c>
      <c r="I34" s="73">
        <v>0</v>
      </c>
      <c r="J34" s="118">
        <v>12837</v>
      </c>
      <c r="K34" s="73">
        <v>12061</v>
      </c>
      <c r="L34" s="129">
        <f t="shared" si="7"/>
        <v>25175</v>
      </c>
      <c r="M34" s="70"/>
      <c r="R34" s="56" t="s">
        <v>122</v>
      </c>
      <c r="S34" s="179">
        <f>M16</f>
        <v>59042.783505154657</v>
      </c>
      <c r="T34" s="180">
        <f t="shared" si="6"/>
        <v>59.042783505154659</v>
      </c>
      <c r="U34" s="55"/>
    </row>
    <row r="35" spans="2:40" x14ac:dyDescent="0.25">
      <c r="B35" s="19" t="s">
        <v>38</v>
      </c>
      <c r="C35" s="73">
        <v>43268</v>
      </c>
      <c r="D35" s="73">
        <v>0</v>
      </c>
      <c r="E35" s="73">
        <v>0</v>
      </c>
      <c r="F35" s="73">
        <v>3795</v>
      </c>
      <c r="G35" s="73"/>
      <c r="H35" s="73">
        <v>0</v>
      </c>
      <c r="I35" s="73">
        <v>0</v>
      </c>
      <c r="J35" s="73">
        <v>0</v>
      </c>
      <c r="K35" s="73">
        <v>67</v>
      </c>
      <c r="L35" s="71">
        <f t="shared" si="7"/>
        <v>47130</v>
      </c>
      <c r="M35" s="70"/>
      <c r="R35" s="173" t="s">
        <v>123</v>
      </c>
      <c r="S35" s="181">
        <f>SUM(S28:S34)</f>
        <v>178295.89962753296</v>
      </c>
      <c r="T35" s="182">
        <f>SUM(T28:T34)</f>
        <v>178.29589962753295</v>
      </c>
      <c r="U35" s="55"/>
    </row>
    <row r="36" spans="2:40" ht="17.25" x14ac:dyDescent="0.4">
      <c r="B36" s="19" t="s">
        <v>39</v>
      </c>
      <c r="C36" s="118">
        <v>458.5</v>
      </c>
      <c r="D36" s="73">
        <v>0</v>
      </c>
      <c r="E36" s="73">
        <v>0</v>
      </c>
      <c r="F36" s="73">
        <v>0</v>
      </c>
      <c r="G36" s="73"/>
      <c r="H36" s="73">
        <v>0</v>
      </c>
      <c r="I36" s="73">
        <v>0</v>
      </c>
      <c r="J36" s="118">
        <v>5070</v>
      </c>
      <c r="K36" s="118">
        <v>18951</v>
      </c>
      <c r="L36" s="209">
        <f t="shared" si="7"/>
        <v>24479.5</v>
      </c>
      <c r="M36" s="70"/>
      <c r="R36" s="173" t="s">
        <v>124</v>
      </c>
      <c r="S36"/>
      <c r="T36" s="60">
        <f>T26+T35+T19</f>
        <v>3662.9039996275328</v>
      </c>
    </row>
    <row r="37" spans="2:40" ht="17.25" x14ac:dyDescent="0.4">
      <c r="B37" s="19" t="s">
        <v>40</v>
      </c>
      <c r="C37" s="73">
        <v>424</v>
      </c>
      <c r="D37" s="73">
        <v>0</v>
      </c>
      <c r="E37" s="73">
        <v>0</v>
      </c>
      <c r="F37" s="73">
        <v>0</v>
      </c>
      <c r="G37" s="73"/>
      <c r="H37" s="118">
        <v>12607</v>
      </c>
      <c r="I37" s="73">
        <v>0</v>
      </c>
      <c r="J37" s="118">
        <v>19153</v>
      </c>
      <c r="K37" s="73">
        <v>54361</v>
      </c>
      <c r="L37" s="71">
        <f t="shared" si="7"/>
        <v>86545</v>
      </c>
      <c r="M37" s="70"/>
      <c r="R37" s="1" t="s">
        <v>125</v>
      </c>
      <c r="S37"/>
      <c r="T37" s="183">
        <f>T17-T36</f>
        <v>288.05721649484576</v>
      </c>
      <c r="U37"/>
    </row>
    <row r="38" spans="2:40" ht="17.25" x14ac:dyDescent="0.4">
      <c r="B38" s="19" t="s">
        <v>41</v>
      </c>
      <c r="C38" s="73">
        <v>0</v>
      </c>
      <c r="D38" s="73">
        <v>0</v>
      </c>
      <c r="E38" s="73">
        <v>0</v>
      </c>
      <c r="F38" s="73">
        <v>0</v>
      </c>
      <c r="G38" s="73"/>
      <c r="H38" s="73">
        <v>0</v>
      </c>
      <c r="I38" s="73">
        <v>0</v>
      </c>
      <c r="J38" s="118">
        <v>18151</v>
      </c>
      <c r="K38" s="73">
        <v>4649</v>
      </c>
      <c r="L38" s="129">
        <f t="shared" si="7"/>
        <v>22800</v>
      </c>
      <c r="M38" s="100"/>
      <c r="O38" s="6"/>
      <c r="P38" s="6"/>
      <c r="Q38" s="6"/>
      <c r="R38" s="173" t="s">
        <v>124</v>
      </c>
      <c r="S38"/>
      <c r="T38" s="60">
        <f>T28+T37+T21</f>
        <v>3648.3575764948455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x14ac:dyDescent="0.25">
      <c r="B39" s="19" t="s">
        <v>42</v>
      </c>
      <c r="C39" s="73">
        <v>0</v>
      </c>
      <c r="D39" s="73">
        <v>0</v>
      </c>
      <c r="E39" s="73">
        <v>0</v>
      </c>
      <c r="F39" s="73">
        <v>0</v>
      </c>
      <c r="G39" s="73"/>
      <c r="H39" s="73">
        <v>0</v>
      </c>
      <c r="I39" s="73">
        <v>0</v>
      </c>
      <c r="J39" s="73">
        <v>0</v>
      </c>
      <c r="K39" s="73">
        <v>3128</v>
      </c>
      <c r="L39" s="71">
        <f t="shared" si="7"/>
        <v>3128</v>
      </c>
      <c r="M39" s="70"/>
      <c r="S39" s="172"/>
      <c r="T39" s="184"/>
      <c r="U39" s="172"/>
    </row>
    <row r="40" spans="2:40" ht="17.25" x14ac:dyDescent="0.4">
      <c r="B40" s="19" t="s">
        <v>43</v>
      </c>
      <c r="C40" s="116">
        <f>SUM(C32:C39)</f>
        <v>229920.5</v>
      </c>
      <c r="D40" s="69">
        <f t="shared" ref="D40:K40" si="8">SUM(D32:D39)</f>
        <v>0</v>
      </c>
      <c r="E40" s="116">
        <f t="shared" si="8"/>
        <v>3243.6</v>
      </c>
      <c r="F40" s="116">
        <f>SUM(F32:F39)</f>
        <v>3886</v>
      </c>
      <c r="G40" s="116">
        <f>SUM(G32:G39)</f>
        <v>1480144</v>
      </c>
      <c r="H40" s="116">
        <f t="shared" si="8"/>
        <v>587706</v>
      </c>
      <c r="I40" s="116">
        <f t="shared" si="8"/>
        <v>39000</v>
      </c>
      <c r="J40" s="210">
        <v>55211</v>
      </c>
      <c r="K40" s="69">
        <f t="shared" si="8"/>
        <v>1085497</v>
      </c>
      <c r="L40" s="129">
        <f t="shared" si="7"/>
        <v>3484608.1</v>
      </c>
      <c r="M40" s="70"/>
    </row>
    <row r="41" spans="2:40" x14ac:dyDescent="0.25">
      <c r="B41" s="19" t="s">
        <v>44</v>
      </c>
      <c r="C41" s="69">
        <f>SUM(C37:C39)</f>
        <v>424</v>
      </c>
      <c r="D41" s="69">
        <f t="shared" ref="D41:L41" si="9">SUM(D37:D39)</f>
        <v>0</v>
      </c>
      <c r="E41" s="69">
        <f t="shared" si="9"/>
        <v>0</v>
      </c>
      <c r="F41" s="69">
        <f t="shared" si="9"/>
        <v>0</v>
      </c>
      <c r="G41" s="69">
        <f t="shared" ref="G41" si="10">SUM(G37:G39)</f>
        <v>0</v>
      </c>
      <c r="H41" s="69">
        <f t="shared" si="9"/>
        <v>12607</v>
      </c>
      <c r="I41" s="69">
        <f t="shared" si="9"/>
        <v>0</v>
      </c>
      <c r="J41" s="69">
        <v>37304</v>
      </c>
      <c r="K41" s="69">
        <f t="shared" si="9"/>
        <v>62138</v>
      </c>
      <c r="L41" s="69">
        <f t="shared" si="9"/>
        <v>112473</v>
      </c>
      <c r="M41" s="70"/>
    </row>
    <row r="42" spans="2:40" x14ac:dyDescent="0.25">
      <c r="B42" s="24"/>
      <c r="C42" s="20"/>
      <c r="D42" s="20"/>
      <c r="E42" s="20"/>
      <c r="F42" s="20"/>
      <c r="G42" s="20"/>
      <c r="H42" s="20"/>
      <c r="I42" s="20"/>
      <c r="J42" s="20"/>
      <c r="K42" s="20"/>
      <c r="L42" s="25"/>
      <c r="M42" s="34"/>
    </row>
    <row r="43" spans="2:40" ht="15.75" thickBot="1" x14ac:dyDescent="0.3">
      <c r="B43" s="44"/>
      <c r="C43" s="36"/>
      <c r="D43" s="36"/>
      <c r="E43" s="36"/>
      <c r="F43" s="36"/>
      <c r="G43" s="36">
        <f>F40+G40</f>
        <v>1484030</v>
      </c>
      <c r="H43" s="36"/>
      <c r="I43" s="36"/>
      <c r="J43" s="36"/>
      <c r="K43" s="36"/>
      <c r="L43" s="37"/>
      <c r="M43" s="34"/>
    </row>
    <row r="47" spans="2:40" x14ac:dyDescent="0.25">
      <c r="F47" s="30"/>
      <c r="G47" s="30"/>
    </row>
    <row r="48" spans="2:40" x14ac:dyDescent="0.25">
      <c r="F48" s="30"/>
      <c r="G48" s="30"/>
    </row>
    <row r="49" spans="5:5" x14ac:dyDescent="0.25">
      <c r="E49" s="30"/>
    </row>
    <row r="50" spans="5:5" x14ac:dyDescent="0.25">
      <c r="E50" s="30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1CA0758BFDE94287CDD3892FBF9AD3" ma:contentTypeVersion="7" ma:contentTypeDescription="Create a new document." ma:contentTypeScope="" ma:versionID="c2ce48790bf187f7a77713e12fb0dad6">
  <xsd:schema xmlns:xsd="http://www.w3.org/2001/XMLSchema" xmlns:xs="http://www.w3.org/2001/XMLSchema" xmlns:p="http://schemas.microsoft.com/office/2006/metadata/properties" xmlns:ns1="http://schemas.microsoft.com/sharepoint/v3" xmlns:ns2="b5e531fa-67de-4c6f-b0e9-c95f80bf210e" targetNamespace="http://schemas.microsoft.com/office/2006/metadata/properties" ma:root="true" ma:fieldsID="314d68ffa0513777a79096a356dfdc54" ns1:_="" ns2:_="">
    <xsd:import namespace="http://schemas.microsoft.com/sharepoint/v3"/>
    <xsd:import namespace="b5e531fa-67de-4c6f-b0e9-c95f80bf21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531fa-67de-4c6f-b0e9-c95f80bf210e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b5e531fa-67de-4c6f-b0e9-c95f80bf210e" xsi:nil="true"/>
    <Beskrivning xmlns="b5e531fa-67de-4c6f-b0e9-c95f80bf210e" xsi:nil="true"/>
    <PublishingExpirationDate xmlns="http://schemas.microsoft.com/sharepoint/v3" xsi:nil="true"/>
    <PublishingStartDate xmlns="http://schemas.microsoft.com/sharepoint/v3" xsi:nil="true"/>
    <Serienummer xmlns="b5e531fa-67de-4c6f-b0e9-c95f80bf210e" xsi:nil="true"/>
    <L_x00f6_pnummer xmlns="b5e531fa-67de-4c6f-b0e9-c95f80bf210e" xsi:nil="true"/>
    <Verksamhet xmlns="b5e531fa-67de-4c6f-b0e9-c95f80bf210e" xsi:nil="true"/>
    <_x00c5_rtal xmlns="b5e531fa-67de-4c6f-b0e9-c95f80bf210e" xsi:nil="true"/>
  </documentManagement>
</p:properties>
</file>

<file path=customXml/itemProps1.xml><?xml version="1.0" encoding="utf-8"?>
<ds:datastoreItem xmlns:ds="http://schemas.openxmlformats.org/officeDocument/2006/customXml" ds:itemID="{C2439314-7DEC-4937-B19C-DE73849E5C12}"/>
</file>

<file path=customXml/itemProps2.xml><?xml version="1.0" encoding="utf-8"?>
<ds:datastoreItem xmlns:ds="http://schemas.openxmlformats.org/officeDocument/2006/customXml" ds:itemID="{B36AE454-FEFA-4892-B36B-DBCEC8B4372A}"/>
</file>

<file path=customXml/itemProps3.xml><?xml version="1.0" encoding="utf-8"?>
<ds:datastoreItem xmlns:ds="http://schemas.openxmlformats.org/officeDocument/2006/customXml" ds:itemID="{0581B705-4D46-4056-8DD4-67F5168DD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Värmlands län</vt:lpstr>
      <vt:lpstr>sammanställning sankey</vt:lpstr>
      <vt:lpstr>Arvika</vt:lpstr>
      <vt:lpstr>Eda</vt:lpstr>
      <vt:lpstr>Filipstad</vt:lpstr>
      <vt:lpstr>Forshaga</vt:lpstr>
      <vt:lpstr>Grums</vt:lpstr>
      <vt:lpstr>Hagfors</vt:lpstr>
      <vt:lpstr>Hammarö</vt:lpstr>
      <vt:lpstr>Karlstad</vt:lpstr>
      <vt:lpstr>Kil</vt:lpstr>
      <vt:lpstr>Kristinehamn</vt:lpstr>
      <vt:lpstr>Munkfors</vt:lpstr>
      <vt:lpstr>Storfors</vt:lpstr>
      <vt:lpstr>Sunne</vt:lpstr>
      <vt:lpstr>Säffle</vt:lpstr>
      <vt:lpstr>Torsby</vt:lpstr>
      <vt:lpstr>Årjäng</vt:lpstr>
    </vt:vector>
  </TitlesOfParts>
  <Company>HifabGruppen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 Hellström</dc:creator>
  <cp:lastModifiedBy>Chris Hellström</cp:lastModifiedBy>
  <dcterms:created xsi:type="dcterms:W3CDTF">2016-03-14T06:56:40Z</dcterms:created>
  <dcterms:modified xsi:type="dcterms:W3CDTF">2016-05-24T08:33:12Z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0x010100FC1CA0758BFDE94287CDD3892FBF9AD3</vt:lpwstr>
  </property>
</Properties>
</file>