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0.xml" ContentType="application/vnd.openxmlformats-officedocument.spreadsheetml.comments+xml"/>
  <Override PartName="/xl/comments9.xml" ContentType="application/vnd.openxmlformats-officedocument.spreadsheetml.comments+xml"/>
  <Override PartName="/xl/comments3.xml" ContentType="application/vnd.openxmlformats-officedocument.spreadsheetml.comment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omments2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5.xml" ContentType="application/vnd.openxmlformats-officedocument.spreadsheetml.comments+xml"/>
  <Override PartName="/xl/comments16.xml" ContentType="application/vnd.openxmlformats-officedocument.spreadsheetml.comments+xml"/>
  <Override PartName="/xl/comments15.xml" ContentType="application/vnd.openxmlformats-officedocument.spreadsheetml.comments+xml"/>
  <Override PartName="/xl/comments14.xml" ContentType="application/vnd.openxmlformats-officedocument.spreadsheetml.comments+xml"/>
  <Override PartName="/xl/comments1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576\Documents\HIFAB\länsstyrelsen energibalanser\Bearbetat statistik\Dalarna\2016-04-30\"/>
    </mc:Choice>
  </mc:AlternateContent>
  <bookViews>
    <workbookView xWindow="0" yWindow="0" windowWidth="20490" windowHeight="7755" tabRatio="859" activeTab="16"/>
  </bookViews>
  <sheets>
    <sheet name="Dalarna län" sheetId="1" r:id="rId1"/>
    <sheet name="sammanställning sankey" sheetId="18" r:id="rId2"/>
    <sheet name="Avesta" sheetId="2" r:id="rId3"/>
    <sheet name="Borlänge" sheetId="3" r:id="rId4"/>
    <sheet name="Falun" sheetId="4" r:id="rId5"/>
    <sheet name="Gagnef" sheetId="5" r:id="rId6"/>
    <sheet name="Hedemora" sheetId="6" r:id="rId7"/>
    <sheet name="Leksand" sheetId="7" r:id="rId8"/>
    <sheet name="Ludvika" sheetId="8" r:id="rId9"/>
    <sheet name="Malung-Sälen" sheetId="9" r:id="rId10"/>
    <sheet name="Mora" sheetId="10" r:id="rId11"/>
    <sheet name="Orsa" sheetId="11" r:id="rId12"/>
    <sheet name="Rättvik" sheetId="12" r:id="rId13"/>
    <sheet name="Smedjebacken" sheetId="13" r:id="rId14"/>
    <sheet name="Säter" sheetId="14" r:id="rId15"/>
    <sheet name="Vansbro" sheetId="15" r:id="rId16"/>
    <sheet name="Älvdalen" sheetId="16" r:id="rId17"/>
  </sheets>
  <externalReferences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3" l="1"/>
  <c r="L20" i="12"/>
  <c r="L20" i="3"/>
  <c r="I5" i="15" l="1"/>
  <c r="I6" i="15"/>
  <c r="I7" i="15"/>
  <c r="I8" i="15"/>
  <c r="I9" i="15"/>
  <c r="I10" i="15"/>
  <c r="I4" i="15"/>
  <c r="I16" i="14"/>
  <c r="I17" i="14"/>
  <c r="I18" i="14"/>
  <c r="I19" i="14"/>
  <c r="I20" i="14"/>
  <c r="I15" i="14"/>
  <c r="I5" i="14"/>
  <c r="I6" i="14"/>
  <c r="I7" i="14"/>
  <c r="I8" i="14"/>
  <c r="I9" i="14"/>
  <c r="I10" i="14"/>
  <c r="I4" i="14"/>
  <c r="I5" i="13"/>
  <c r="I6" i="13"/>
  <c r="I7" i="13"/>
  <c r="I8" i="13"/>
  <c r="I9" i="13"/>
  <c r="I10" i="13"/>
  <c r="I4" i="13"/>
  <c r="I5" i="12"/>
  <c r="I6" i="12"/>
  <c r="I7" i="12"/>
  <c r="I8" i="12"/>
  <c r="I9" i="12"/>
  <c r="I10" i="12"/>
  <c r="I4" i="12"/>
  <c r="I5" i="11"/>
  <c r="I6" i="11"/>
  <c r="I7" i="11"/>
  <c r="I8" i="11"/>
  <c r="I9" i="11"/>
  <c r="I10" i="11"/>
  <c r="I4" i="11"/>
  <c r="I5" i="10"/>
  <c r="I6" i="10"/>
  <c r="I7" i="10"/>
  <c r="I8" i="10"/>
  <c r="I9" i="10"/>
  <c r="I10" i="10"/>
  <c r="I4" i="10"/>
  <c r="I16" i="9"/>
  <c r="I17" i="9"/>
  <c r="I18" i="9"/>
  <c r="I19" i="9"/>
  <c r="I20" i="9"/>
  <c r="I15" i="9"/>
  <c r="I5" i="9"/>
  <c r="I6" i="9"/>
  <c r="I7" i="9"/>
  <c r="I8" i="9"/>
  <c r="I9" i="9"/>
  <c r="I10" i="9"/>
  <c r="I4" i="9"/>
  <c r="I16" i="8"/>
  <c r="I17" i="8"/>
  <c r="I18" i="8"/>
  <c r="I19" i="8"/>
  <c r="I20" i="8"/>
  <c r="I15" i="8"/>
  <c r="I5" i="8"/>
  <c r="I6" i="8"/>
  <c r="I7" i="8"/>
  <c r="I8" i="8"/>
  <c r="I9" i="8"/>
  <c r="I10" i="8"/>
  <c r="I4" i="8"/>
  <c r="I5" i="7"/>
  <c r="I6" i="7"/>
  <c r="I7" i="7"/>
  <c r="I8" i="7"/>
  <c r="I9" i="7"/>
  <c r="I10" i="7"/>
  <c r="I4" i="7"/>
  <c r="I5" i="6"/>
  <c r="I6" i="6"/>
  <c r="I7" i="6"/>
  <c r="I8" i="6"/>
  <c r="I9" i="6"/>
  <c r="I10" i="6"/>
  <c r="I4" i="6"/>
  <c r="I16" i="4"/>
  <c r="I17" i="4"/>
  <c r="I18" i="4"/>
  <c r="I19" i="4"/>
  <c r="I20" i="4"/>
  <c r="I15" i="4"/>
  <c r="I5" i="4"/>
  <c r="I6" i="4"/>
  <c r="I7" i="4"/>
  <c r="I8" i="4"/>
  <c r="I9" i="4"/>
  <c r="I10" i="4"/>
  <c r="I4" i="4"/>
  <c r="I16" i="3"/>
  <c r="I17" i="3"/>
  <c r="I18" i="3"/>
  <c r="I19" i="3"/>
  <c r="I20" i="3"/>
  <c r="I15" i="3"/>
  <c r="I5" i="3"/>
  <c r="I6" i="3"/>
  <c r="I7" i="3"/>
  <c r="I8" i="3"/>
  <c r="I9" i="3"/>
  <c r="I10" i="3"/>
  <c r="I4" i="3"/>
  <c r="I16" i="2"/>
  <c r="I17" i="2"/>
  <c r="I18" i="2"/>
  <c r="I19" i="2"/>
  <c r="I20" i="2"/>
  <c r="I15" i="2"/>
  <c r="I5" i="2"/>
  <c r="I6" i="2"/>
  <c r="I7" i="2"/>
  <c r="I8" i="2"/>
  <c r="I9" i="2"/>
  <c r="I10" i="2"/>
  <c r="I4" i="2"/>
  <c r="F107" i="18"/>
  <c r="J28" i="16"/>
  <c r="J28" i="13"/>
  <c r="J28" i="12"/>
  <c r="J28" i="11"/>
  <c r="J28" i="10"/>
  <c r="J28" i="9"/>
  <c r="J28" i="8"/>
  <c r="J28" i="7"/>
  <c r="J28" i="6"/>
  <c r="J28" i="5"/>
  <c r="J28" i="4"/>
  <c r="J28" i="3"/>
  <c r="J28" i="2"/>
  <c r="J20" i="11" l="1"/>
  <c r="I20" i="11"/>
  <c r="H20" i="11"/>
  <c r="G20" i="11"/>
  <c r="F20" i="11"/>
  <c r="E20" i="11"/>
  <c r="D20" i="11"/>
  <c r="C20" i="11"/>
  <c r="J19" i="11"/>
  <c r="I19" i="11"/>
  <c r="H19" i="11"/>
  <c r="G19" i="11"/>
  <c r="F19" i="11"/>
  <c r="E19" i="11"/>
  <c r="D19" i="11"/>
  <c r="C19" i="11"/>
  <c r="J18" i="11"/>
  <c r="I18" i="11"/>
  <c r="H18" i="11"/>
  <c r="G18" i="11"/>
  <c r="F18" i="11"/>
  <c r="E18" i="11"/>
  <c r="D18" i="11"/>
  <c r="C18" i="11"/>
  <c r="J17" i="11"/>
  <c r="I17" i="11"/>
  <c r="H17" i="11"/>
  <c r="G17" i="11"/>
  <c r="F17" i="11"/>
  <c r="E17" i="11"/>
  <c r="D17" i="11"/>
  <c r="C17" i="11"/>
  <c r="J16" i="11"/>
  <c r="I16" i="11"/>
  <c r="H16" i="11"/>
  <c r="G16" i="11"/>
  <c r="F16" i="11"/>
  <c r="E16" i="11"/>
  <c r="D16" i="11"/>
  <c r="C16" i="11"/>
  <c r="J15" i="11"/>
  <c r="I15" i="11"/>
  <c r="H15" i="11"/>
  <c r="G15" i="11"/>
  <c r="F15" i="11"/>
  <c r="E15" i="11"/>
  <c r="D15" i="11"/>
  <c r="C15" i="11"/>
  <c r="L20" i="16" l="1"/>
  <c r="S36" i="16"/>
  <c r="S35" i="16"/>
  <c r="S34" i="16"/>
  <c r="S33" i="16"/>
  <c r="S32" i="16"/>
  <c r="S31" i="16"/>
  <c r="S30" i="16"/>
  <c r="S27" i="16"/>
  <c r="S26" i="16"/>
  <c r="S25" i="16"/>
  <c r="S24" i="16"/>
  <c r="S23" i="16"/>
  <c r="S22" i="16"/>
  <c r="S21" i="16"/>
  <c r="S18" i="16"/>
  <c r="S17" i="16"/>
  <c r="S16" i="16"/>
  <c r="S14" i="16"/>
  <c r="S13" i="16"/>
  <c r="S12" i="16"/>
  <c r="S11" i="16"/>
  <c r="S7" i="16"/>
  <c r="S6" i="16"/>
  <c r="S5" i="16"/>
  <c r="S4" i="16"/>
  <c r="L20" i="15"/>
  <c r="S36" i="15"/>
  <c r="S35" i="15"/>
  <c r="S31" i="15"/>
  <c r="S30" i="15"/>
  <c r="S27" i="15"/>
  <c r="S26" i="15"/>
  <c r="S25" i="15"/>
  <c r="S24" i="15"/>
  <c r="S23" i="15"/>
  <c r="S22" i="15"/>
  <c r="S18" i="15"/>
  <c r="S17" i="15"/>
  <c r="S16" i="15"/>
  <c r="S14" i="15"/>
  <c r="S13" i="15"/>
  <c r="S12" i="15"/>
  <c r="S11" i="15"/>
  <c r="S7" i="15"/>
  <c r="S6" i="15"/>
  <c r="S30" i="14"/>
  <c r="S27" i="14"/>
  <c r="S26" i="14"/>
  <c r="S25" i="14"/>
  <c r="S24" i="14"/>
  <c r="S23" i="14"/>
  <c r="S22" i="14"/>
  <c r="S18" i="14"/>
  <c r="S17" i="14"/>
  <c r="S16" i="14"/>
  <c r="S14" i="14"/>
  <c r="S13" i="14"/>
  <c r="S12" i="14"/>
  <c r="S11" i="14"/>
  <c r="S7" i="14"/>
  <c r="S6" i="14"/>
  <c r="S36" i="13"/>
  <c r="S35" i="13"/>
  <c r="S32" i="13"/>
  <c r="S31" i="13"/>
  <c r="S30" i="13"/>
  <c r="S27" i="13"/>
  <c r="S26" i="13"/>
  <c r="S25" i="13"/>
  <c r="S24" i="13"/>
  <c r="S23" i="13"/>
  <c r="S22" i="13"/>
  <c r="S18" i="13"/>
  <c r="S17" i="13"/>
  <c r="S16" i="13"/>
  <c r="S14" i="13"/>
  <c r="S13" i="13"/>
  <c r="S12" i="13"/>
  <c r="S11" i="13"/>
  <c r="S9" i="13"/>
  <c r="S7" i="13"/>
  <c r="S6" i="13"/>
  <c r="S5" i="13"/>
  <c r="S15" i="13" s="1"/>
  <c r="S4" i="13"/>
  <c r="S36" i="12"/>
  <c r="S35" i="12"/>
  <c r="S32" i="12"/>
  <c r="S31" i="12"/>
  <c r="S30" i="12"/>
  <c r="S27" i="12"/>
  <c r="S26" i="12"/>
  <c r="S25" i="12"/>
  <c r="S24" i="12"/>
  <c r="S23" i="12"/>
  <c r="S22" i="12"/>
  <c r="S18" i="12"/>
  <c r="S17" i="12"/>
  <c r="S16" i="12"/>
  <c r="S14" i="12"/>
  <c r="S13" i="12"/>
  <c r="S12" i="12"/>
  <c r="S11" i="12"/>
  <c r="S9" i="12"/>
  <c r="S7" i="12"/>
  <c r="S6" i="12"/>
  <c r="S5" i="12"/>
  <c r="S15" i="12" s="1"/>
  <c r="S4" i="12"/>
  <c r="J20" i="10"/>
  <c r="I20" i="10"/>
  <c r="H20" i="10"/>
  <c r="G20" i="10"/>
  <c r="F20" i="10"/>
  <c r="E20" i="10"/>
  <c r="D20" i="10"/>
  <c r="C20" i="10"/>
  <c r="J19" i="10"/>
  <c r="I19" i="10"/>
  <c r="H19" i="10"/>
  <c r="G19" i="10"/>
  <c r="F19" i="10"/>
  <c r="E19" i="10"/>
  <c r="D19" i="10"/>
  <c r="C19" i="10"/>
  <c r="J18" i="10"/>
  <c r="I18" i="10"/>
  <c r="H18" i="10"/>
  <c r="G18" i="10"/>
  <c r="F18" i="10"/>
  <c r="E18" i="10"/>
  <c r="D18" i="10"/>
  <c r="C18" i="10"/>
  <c r="J17" i="10"/>
  <c r="I17" i="10"/>
  <c r="H17" i="10"/>
  <c r="G17" i="10"/>
  <c r="F17" i="10"/>
  <c r="E17" i="10"/>
  <c r="D17" i="10"/>
  <c r="C17" i="10"/>
  <c r="J15" i="10"/>
  <c r="I15" i="10"/>
  <c r="H15" i="10"/>
  <c r="G15" i="10"/>
  <c r="F15" i="10"/>
  <c r="E15" i="10"/>
  <c r="D15" i="10"/>
  <c r="C15" i="10"/>
  <c r="J10" i="10"/>
  <c r="J9" i="10"/>
  <c r="H9" i="10"/>
  <c r="G9" i="10"/>
  <c r="F9" i="10"/>
  <c r="E9" i="10"/>
  <c r="D9" i="10"/>
  <c r="C9" i="10"/>
  <c r="J8" i="10"/>
  <c r="H8" i="10"/>
  <c r="G8" i="10"/>
  <c r="F8" i="10"/>
  <c r="E8" i="10"/>
  <c r="D8" i="10"/>
  <c r="C8" i="10"/>
  <c r="J7" i="10"/>
  <c r="H7" i="10"/>
  <c r="G7" i="10"/>
  <c r="F7" i="10"/>
  <c r="E7" i="10"/>
  <c r="D7" i="10"/>
  <c r="C7" i="10"/>
  <c r="J6" i="10"/>
  <c r="H6" i="10"/>
  <c r="G6" i="10"/>
  <c r="F6" i="10"/>
  <c r="E6" i="10"/>
  <c r="D6" i="10"/>
  <c r="C6" i="10"/>
  <c r="J5" i="10"/>
  <c r="H5" i="10"/>
  <c r="G5" i="10"/>
  <c r="F5" i="10"/>
  <c r="E5" i="10"/>
  <c r="D5" i="10"/>
  <c r="C5" i="10"/>
  <c r="J4" i="10"/>
  <c r="H4" i="10"/>
  <c r="H10" i="10" s="1"/>
  <c r="G4" i="10"/>
  <c r="G10" i="10" s="1"/>
  <c r="F4" i="10"/>
  <c r="F10" i="10" s="1"/>
  <c r="E4" i="10"/>
  <c r="E10" i="10" s="1"/>
  <c r="D4" i="10"/>
  <c r="D10" i="10" s="1"/>
  <c r="C4" i="10"/>
  <c r="C10" i="10" s="1"/>
  <c r="S30" i="10" l="1"/>
  <c r="S27" i="10"/>
  <c r="S26" i="10"/>
  <c r="S25" i="10"/>
  <c r="S24" i="10"/>
  <c r="S23" i="10"/>
  <c r="S22" i="10"/>
  <c r="S18" i="10"/>
  <c r="S17" i="10"/>
  <c r="S16" i="10"/>
  <c r="T16" i="10" s="1"/>
  <c r="S14" i="10"/>
  <c r="T14" i="10" s="1"/>
  <c r="S13" i="10"/>
  <c r="S12" i="10"/>
  <c r="S11" i="10"/>
  <c r="T11" i="10" s="1"/>
  <c r="S7" i="10"/>
  <c r="S6" i="10"/>
  <c r="S32" i="9"/>
  <c r="S31" i="9"/>
  <c r="S30" i="9"/>
  <c r="S27" i="9"/>
  <c r="S26" i="9"/>
  <c r="S25" i="9"/>
  <c r="S24" i="9"/>
  <c r="S23" i="9"/>
  <c r="S22" i="9"/>
  <c r="S18" i="9"/>
  <c r="S17" i="9"/>
  <c r="S16" i="9"/>
  <c r="S14" i="9"/>
  <c r="S13" i="9"/>
  <c r="S12" i="9"/>
  <c r="S11" i="9"/>
  <c r="S7" i="9"/>
  <c r="S6" i="9"/>
  <c r="S5" i="9"/>
  <c r="S4" i="9"/>
  <c r="S32" i="8"/>
  <c r="S31" i="8"/>
  <c r="S30" i="8"/>
  <c r="S27" i="8"/>
  <c r="S26" i="8"/>
  <c r="S25" i="8"/>
  <c r="S24" i="8"/>
  <c r="S23" i="8"/>
  <c r="S22" i="8"/>
  <c r="S18" i="8"/>
  <c r="S17" i="8"/>
  <c r="S16" i="8"/>
  <c r="S14" i="8"/>
  <c r="S13" i="8"/>
  <c r="S12" i="8"/>
  <c r="S11" i="8"/>
  <c r="S7" i="8"/>
  <c r="S6" i="8"/>
  <c r="S5" i="8"/>
  <c r="S15" i="8" s="1"/>
  <c r="S19" i="8" s="1"/>
  <c r="S4" i="8"/>
  <c r="L20" i="7"/>
  <c r="S36" i="7"/>
  <c r="S35" i="7"/>
  <c r="S32" i="7"/>
  <c r="S31" i="7"/>
  <c r="S30" i="7"/>
  <c r="S27" i="7"/>
  <c r="S26" i="7"/>
  <c r="S25" i="7"/>
  <c r="S24" i="7"/>
  <c r="S23" i="7"/>
  <c r="S22" i="7"/>
  <c r="S18" i="7"/>
  <c r="S17" i="7"/>
  <c r="S16" i="7"/>
  <c r="S14" i="7"/>
  <c r="S13" i="7"/>
  <c r="S12" i="7"/>
  <c r="S11" i="7"/>
  <c r="S7" i="7"/>
  <c r="S15" i="7" s="1"/>
  <c r="S19" i="7" s="1"/>
  <c r="S6" i="7"/>
  <c r="S5" i="7"/>
  <c r="S4" i="7"/>
  <c r="L20" i="6"/>
  <c r="S36" i="6"/>
  <c r="S35" i="6"/>
  <c r="S32" i="6"/>
  <c r="S31" i="6"/>
  <c r="S30" i="6"/>
  <c r="S27" i="6"/>
  <c r="S26" i="6"/>
  <c r="S25" i="6"/>
  <c r="S24" i="6"/>
  <c r="S23" i="6"/>
  <c r="S22" i="6"/>
  <c r="S18" i="6"/>
  <c r="S17" i="6"/>
  <c r="S16" i="6"/>
  <c r="S14" i="6"/>
  <c r="S13" i="6"/>
  <c r="S12" i="6"/>
  <c r="S11" i="6"/>
  <c r="S7" i="6"/>
  <c r="T7" i="6" s="1"/>
  <c r="S6" i="6"/>
  <c r="S5" i="6"/>
  <c r="T5" i="6" s="1"/>
  <c r="S4" i="6"/>
  <c r="L20" i="5"/>
  <c r="S36" i="5"/>
  <c r="S35" i="5"/>
  <c r="S34" i="5"/>
  <c r="S33" i="5"/>
  <c r="S32" i="5"/>
  <c r="S31" i="5"/>
  <c r="S30" i="5"/>
  <c r="S27" i="5"/>
  <c r="S26" i="5"/>
  <c r="S25" i="5"/>
  <c r="S24" i="5"/>
  <c r="S23" i="5"/>
  <c r="S22" i="5"/>
  <c r="S21" i="5"/>
  <c r="T21" i="5" s="1"/>
  <c r="S18" i="5"/>
  <c r="S17" i="5"/>
  <c r="S16" i="5"/>
  <c r="S13" i="5"/>
  <c r="S12" i="5"/>
  <c r="S11" i="5"/>
  <c r="S7" i="5"/>
  <c r="S6" i="5"/>
  <c r="S5" i="5"/>
  <c r="S4" i="5"/>
  <c r="S32" i="4"/>
  <c r="S31" i="4"/>
  <c r="S30" i="4"/>
  <c r="S27" i="4"/>
  <c r="S26" i="4"/>
  <c r="S25" i="4"/>
  <c r="S24" i="4"/>
  <c r="S23" i="4"/>
  <c r="S22" i="4"/>
  <c r="S18" i="4"/>
  <c r="S17" i="4"/>
  <c r="K5" i="16"/>
  <c r="K4" i="16"/>
  <c r="K5" i="15"/>
  <c r="K4" i="15"/>
  <c r="K5" i="14"/>
  <c r="K4" i="14"/>
  <c r="K5" i="13"/>
  <c r="K4" i="13"/>
  <c r="K5" i="12"/>
  <c r="K4" i="12"/>
  <c r="K5" i="11"/>
  <c r="K4" i="11"/>
  <c r="K5" i="10"/>
  <c r="K4" i="10"/>
  <c r="K5" i="9"/>
  <c r="K4" i="9"/>
  <c r="K5" i="8"/>
  <c r="K4" i="8"/>
  <c r="K5" i="7"/>
  <c r="K4" i="7"/>
  <c r="K5" i="6"/>
  <c r="K4" i="6"/>
  <c r="K5" i="4"/>
  <c r="K4" i="4"/>
  <c r="S16" i="4"/>
  <c r="S14" i="4"/>
  <c r="S13" i="4"/>
  <c r="S12" i="4"/>
  <c r="S11" i="4"/>
  <c r="S7" i="4"/>
  <c r="T7" i="4"/>
  <c r="S6" i="4"/>
  <c r="S5" i="4"/>
  <c r="T5" i="4" s="1"/>
  <c r="S4" i="4"/>
  <c r="K5" i="3"/>
  <c r="K4" i="3"/>
  <c r="S18" i="3"/>
  <c r="S17" i="3"/>
  <c r="S16" i="3"/>
  <c r="S14" i="3"/>
  <c r="S13" i="3"/>
  <c r="S12" i="3"/>
  <c r="S11" i="3"/>
  <c r="S9" i="3"/>
  <c r="T9" i="3" s="1"/>
  <c r="S8" i="3"/>
  <c r="T8" i="3" s="1"/>
  <c r="S6" i="3"/>
  <c r="S5" i="3"/>
  <c r="T5" i="3" s="1"/>
  <c r="S4" i="3"/>
  <c r="S32" i="2"/>
  <c r="K21" i="2"/>
  <c r="S31" i="2"/>
  <c r="S30" i="2"/>
  <c r="S27" i="2"/>
  <c r="S26" i="2"/>
  <c r="S25" i="2"/>
  <c r="S24" i="2"/>
  <c r="S23" i="2"/>
  <c r="S22" i="2"/>
  <c r="S18" i="2"/>
  <c r="S17" i="2"/>
  <c r="S16" i="2"/>
  <c r="S14" i="2"/>
  <c r="S13" i="2"/>
  <c r="S12" i="2"/>
  <c r="S11" i="2"/>
  <c r="S7" i="2"/>
  <c r="S6" i="2"/>
  <c r="S5" i="2"/>
  <c r="S15" i="2" s="1"/>
  <c r="S19" i="2" s="1"/>
  <c r="S4" i="2"/>
  <c r="T36" i="16"/>
  <c r="T35" i="16"/>
  <c r="T34" i="16"/>
  <c r="T33" i="16"/>
  <c r="T32" i="16"/>
  <c r="S37" i="16"/>
  <c r="T30" i="16"/>
  <c r="T29" i="16"/>
  <c r="T27" i="16"/>
  <c r="T26" i="16"/>
  <c r="T25" i="16"/>
  <c r="T24" i="16"/>
  <c r="T23" i="16"/>
  <c r="T22" i="16"/>
  <c r="T28" i="16" s="1"/>
  <c r="S28" i="16"/>
  <c r="T21" i="16"/>
  <c r="T18" i="16"/>
  <c r="T17" i="16"/>
  <c r="T16" i="16"/>
  <c r="T14" i="16"/>
  <c r="T13" i="16"/>
  <c r="T12" i="16"/>
  <c r="T11" i="16"/>
  <c r="T10" i="16"/>
  <c r="T9" i="16"/>
  <c r="T8" i="16"/>
  <c r="T7" i="16"/>
  <c r="T6" i="16"/>
  <c r="T5" i="16"/>
  <c r="S15" i="16"/>
  <c r="S19" i="16" s="1"/>
  <c r="T36" i="15"/>
  <c r="T35" i="15"/>
  <c r="T31" i="15"/>
  <c r="T30" i="15"/>
  <c r="T29" i="15"/>
  <c r="T27" i="15"/>
  <c r="T26" i="15"/>
  <c r="T25" i="15"/>
  <c r="T24" i="15"/>
  <c r="T23" i="15"/>
  <c r="T22" i="15"/>
  <c r="T28" i="15" s="1"/>
  <c r="S28" i="15"/>
  <c r="T18" i="15"/>
  <c r="T17" i="15"/>
  <c r="T16" i="15"/>
  <c r="T14" i="15"/>
  <c r="T13" i="15"/>
  <c r="T12" i="15"/>
  <c r="T11" i="15"/>
  <c r="T10" i="15"/>
  <c r="T9" i="15"/>
  <c r="T8" i="15"/>
  <c r="T7" i="15"/>
  <c r="T6" i="15"/>
  <c r="T30" i="14"/>
  <c r="T29" i="14"/>
  <c r="T27" i="14"/>
  <c r="T26" i="14"/>
  <c r="T25" i="14"/>
  <c r="T24" i="14"/>
  <c r="T23" i="14"/>
  <c r="T22" i="14"/>
  <c r="T28" i="14" s="1"/>
  <c r="S28" i="14"/>
  <c r="T18" i="14"/>
  <c r="T17" i="14"/>
  <c r="T16" i="14"/>
  <c r="T14" i="14"/>
  <c r="T13" i="14"/>
  <c r="T12" i="14"/>
  <c r="T11" i="14"/>
  <c r="T10" i="14"/>
  <c r="T9" i="14"/>
  <c r="T8" i="14"/>
  <c r="T7" i="14"/>
  <c r="T6" i="14"/>
  <c r="T36" i="13"/>
  <c r="T35" i="13"/>
  <c r="T32" i="13"/>
  <c r="T31" i="13"/>
  <c r="T30" i="13"/>
  <c r="T29" i="13"/>
  <c r="T27" i="13"/>
  <c r="T26" i="13"/>
  <c r="T25" i="13"/>
  <c r="T24" i="13"/>
  <c r="T23" i="13"/>
  <c r="T22" i="13"/>
  <c r="T28" i="13" s="1"/>
  <c r="S28" i="13"/>
  <c r="S21" i="13"/>
  <c r="T21" i="13" s="1"/>
  <c r="T18" i="13"/>
  <c r="T17" i="13"/>
  <c r="T16" i="13"/>
  <c r="T14" i="13"/>
  <c r="T13" i="13"/>
  <c r="T12" i="13"/>
  <c r="T11" i="13"/>
  <c r="T10" i="13"/>
  <c r="T9" i="13"/>
  <c r="T8" i="13"/>
  <c r="T7" i="13"/>
  <c r="T6" i="13"/>
  <c r="T5" i="13"/>
  <c r="S19" i="13"/>
  <c r="T36" i="12"/>
  <c r="T35" i="12"/>
  <c r="T32" i="12"/>
  <c r="T31" i="12"/>
  <c r="T30" i="12"/>
  <c r="T29" i="12"/>
  <c r="T27" i="12"/>
  <c r="T26" i="12"/>
  <c r="T25" i="12"/>
  <c r="T24" i="12"/>
  <c r="T23" i="12"/>
  <c r="T22" i="12"/>
  <c r="T21" i="12"/>
  <c r="S21" i="12"/>
  <c r="T18" i="12"/>
  <c r="T17" i="12"/>
  <c r="T16" i="12"/>
  <c r="T14" i="12"/>
  <c r="T13" i="12"/>
  <c r="T12" i="12"/>
  <c r="T11" i="12"/>
  <c r="T10" i="12"/>
  <c r="T9" i="12"/>
  <c r="T8" i="12"/>
  <c r="T7" i="12"/>
  <c r="T6" i="12"/>
  <c r="T5" i="12"/>
  <c r="T4" i="12"/>
  <c r="S31" i="11"/>
  <c r="T31" i="11" s="1"/>
  <c r="S30" i="11"/>
  <c r="T30" i="11" s="1"/>
  <c r="T29" i="11"/>
  <c r="S27" i="11"/>
  <c r="T27" i="11" s="1"/>
  <c r="T26" i="11"/>
  <c r="S26" i="11"/>
  <c r="S25" i="11"/>
  <c r="T25" i="11" s="1"/>
  <c r="T24" i="11"/>
  <c r="S24" i="11"/>
  <c r="S23" i="11"/>
  <c r="T23" i="11" s="1"/>
  <c r="T22" i="11"/>
  <c r="T28" i="11" s="1"/>
  <c r="S22" i="11"/>
  <c r="S28" i="11" s="1"/>
  <c r="S18" i="11"/>
  <c r="T18" i="11" s="1"/>
  <c r="T17" i="11"/>
  <c r="S17" i="11"/>
  <c r="S16" i="11"/>
  <c r="T16" i="11" s="1"/>
  <c r="S14" i="11"/>
  <c r="T14" i="11" s="1"/>
  <c r="S13" i="11"/>
  <c r="T13" i="11" s="1"/>
  <c r="S12" i="11"/>
  <c r="T12" i="11" s="1"/>
  <c r="S11" i="11"/>
  <c r="T11" i="11" s="1"/>
  <c r="T10" i="11"/>
  <c r="T9" i="11"/>
  <c r="T8" i="11"/>
  <c r="S7" i="11"/>
  <c r="T7" i="11" s="1"/>
  <c r="S6" i="11"/>
  <c r="T6" i="11" s="1"/>
  <c r="T29" i="10"/>
  <c r="T27" i="10"/>
  <c r="T26" i="10"/>
  <c r="T25" i="10"/>
  <c r="T24" i="10"/>
  <c r="T23" i="10"/>
  <c r="T22" i="10"/>
  <c r="T28" i="10" s="1"/>
  <c r="T18" i="10"/>
  <c r="T17" i="10"/>
  <c r="T13" i="10"/>
  <c r="T12" i="10"/>
  <c r="T10" i="10"/>
  <c r="T9" i="10"/>
  <c r="T8" i="10"/>
  <c r="T6" i="10"/>
  <c r="T32" i="9"/>
  <c r="T31" i="9"/>
  <c r="T29" i="9"/>
  <c r="T27" i="9"/>
  <c r="T26" i="9"/>
  <c r="T25" i="9"/>
  <c r="T24" i="9"/>
  <c r="T23" i="9"/>
  <c r="T22" i="9"/>
  <c r="T21" i="9"/>
  <c r="S21" i="9"/>
  <c r="T18" i="9"/>
  <c r="T17" i="9"/>
  <c r="T16" i="9"/>
  <c r="T14" i="9"/>
  <c r="T13" i="9"/>
  <c r="T12" i="9"/>
  <c r="T11" i="9"/>
  <c r="T10" i="9"/>
  <c r="T9" i="9"/>
  <c r="T8" i="9"/>
  <c r="T7" i="9"/>
  <c r="T6" i="9"/>
  <c r="T4" i="9"/>
  <c r="T32" i="8"/>
  <c r="T31" i="8"/>
  <c r="T29" i="8"/>
  <c r="T27" i="8"/>
  <c r="T26" i="8"/>
  <c r="T25" i="8"/>
  <c r="T24" i="8"/>
  <c r="T23" i="8"/>
  <c r="T22" i="8"/>
  <c r="T28" i="8" s="1"/>
  <c r="S21" i="8"/>
  <c r="T21" i="8" s="1"/>
  <c r="T18" i="8"/>
  <c r="T17" i="8"/>
  <c r="T16" i="8"/>
  <c r="T14" i="8"/>
  <c r="T13" i="8"/>
  <c r="T12" i="8"/>
  <c r="T11" i="8"/>
  <c r="T10" i="8"/>
  <c r="T9" i="8"/>
  <c r="T8" i="8"/>
  <c r="T7" i="8"/>
  <c r="T6" i="8"/>
  <c r="T4" i="8"/>
  <c r="T36" i="7"/>
  <c r="T35" i="7"/>
  <c r="T32" i="7"/>
  <c r="T31" i="7"/>
  <c r="T29" i="7"/>
  <c r="T27" i="7"/>
  <c r="T26" i="7"/>
  <c r="T25" i="7"/>
  <c r="T24" i="7"/>
  <c r="T23" i="7"/>
  <c r="T22" i="7"/>
  <c r="S21" i="7"/>
  <c r="T21" i="7" s="1"/>
  <c r="T18" i="7"/>
  <c r="T17" i="7"/>
  <c r="T16" i="7"/>
  <c r="T14" i="7"/>
  <c r="T13" i="7"/>
  <c r="T12" i="7"/>
  <c r="T11" i="7"/>
  <c r="T10" i="7"/>
  <c r="T9" i="7"/>
  <c r="T8" i="7"/>
  <c r="T7" i="7"/>
  <c r="T6" i="7"/>
  <c r="T4" i="7"/>
  <c r="T36" i="6"/>
  <c r="T35" i="6"/>
  <c r="T32" i="6"/>
  <c r="T31" i="6"/>
  <c r="T30" i="6"/>
  <c r="T29" i="6"/>
  <c r="T27" i="6"/>
  <c r="T26" i="6"/>
  <c r="T25" i="6"/>
  <c r="T24" i="6"/>
  <c r="T23" i="6"/>
  <c r="T22" i="6"/>
  <c r="T28" i="6" s="1"/>
  <c r="S28" i="6"/>
  <c r="S21" i="6"/>
  <c r="T21" i="6" s="1"/>
  <c r="T18" i="6"/>
  <c r="T17" i="6"/>
  <c r="T16" i="6"/>
  <c r="T14" i="6"/>
  <c r="T13" i="6"/>
  <c r="T12" i="6"/>
  <c r="T11" i="6"/>
  <c r="T10" i="6"/>
  <c r="T9" i="6"/>
  <c r="T8" i="6"/>
  <c r="T6" i="6"/>
  <c r="S15" i="6"/>
  <c r="S19" i="6" s="1"/>
  <c r="T36" i="5"/>
  <c r="T35" i="5"/>
  <c r="T34" i="5"/>
  <c r="T33" i="5"/>
  <c r="T32" i="5"/>
  <c r="T31" i="5"/>
  <c r="T30" i="5"/>
  <c r="T29" i="5"/>
  <c r="T27" i="5"/>
  <c r="T26" i="5"/>
  <c r="T25" i="5"/>
  <c r="T24" i="5"/>
  <c r="T23" i="5"/>
  <c r="T22" i="5"/>
  <c r="T28" i="5" s="1"/>
  <c r="S28" i="5"/>
  <c r="T18" i="5"/>
  <c r="T17" i="5"/>
  <c r="T16" i="5"/>
  <c r="T13" i="5"/>
  <c r="T12" i="5"/>
  <c r="T11" i="5"/>
  <c r="T10" i="5"/>
  <c r="T9" i="5"/>
  <c r="T8" i="5"/>
  <c r="T7" i="5"/>
  <c r="T6" i="5"/>
  <c r="T5" i="5"/>
  <c r="T32" i="4"/>
  <c r="T31" i="4"/>
  <c r="T30" i="4"/>
  <c r="T29" i="4"/>
  <c r="T27" i="4"/>
  <c r="T26" i="4"/>
  <c r="T25" i="4"/>
  <c r="T24" i="4"/>
  <c r="T23" i="4"/>
  <c r="T22" i="4"/>
  <c r="T28" i="4" s="1"/>
  <c r="S28" i="4"/>
  <c r="S21" i="4"/>
  <c r="T21" i="4" s="1"/>
  <c r="T18" i="4"/>
  <c r="T17" i="4"/>
  <c r="T16" i="4"/>
  <c r="T14" i="4"/>
  <c r="T13" i="4"/>
  <c r="T12" i="4"/>
  <c r="T11" i="4"/>
  <c r="T10" i="4"/>
  <c r="T9" i="4"/>
  <c r="T8" i="4"/>
  <c r="T6" i="4"/>
  <c r="S32" i="3"/>
  <c r="T32" i="3" s="1"/>
  <c r="S30" i="3"/>
  <c r="T30" i="3" s="1"/>
  <c r="T29" i="3"/>
  <c r="T27" i="3"/>
  <c r="S27" i="3"/>
  <c r="T26" i="3"/>
  <c r="S26" i="3"/>
  <c r="T25" i="3"/>
  <c r="S25" i="3"/>
  <c r="T24" i="3"/>
  <c r="S24" i="3"/>
  <c r="T23" i="3"/>
  <c r="S23" i="3"/>
  <c r="T22" i="3"/>
  <c r="T28" i="3" s="1"/>
  <c r="S22" i="3"/>
  <c r="S28" i="3" s="1"/>
  <c r="S21" i="3"/>
  <c r="T21" i="3" s="1"/>
  <c r="T18" i="3"/>
  <c r="T17" i="3"/>
  <c r="T16" i="3"/>
  <c r="T14" i="3"/>
  <c r="T13" i="3"/>
  <c r="T12" i="3"/>
  <c r="T11" i="3"/>
  <c r="T10" i="3"/>
  <c r="T6" i="3"/>
  <c r="S15" i="3"/>
  <c r="S19" i="3" s="1"/>
  <c r="T32" i="2"/>
  <c r="T31" i="2"/>
  <c r="T29" i="2"/>
  <c r="T27" i="2"/>
  <c r="T26" i="2"/>
  <c r="T25" i="2"/>
  <c r="T24" i="2"/>
  <c r="T23" i="2"/>
  <c r="T22" i="2"/>
  <c r="T21" i="2"/>
  <c r="S21" i="2"/>
  <c r="T18" i="2"/>
  <c r="T17" i="2"/>
  <c r="T16" i="2"/>
  <c r="T14" i="2"/>
  <c r="T13" i="2"/>
  <c r="T12" i="2"/>
  <c r="T11" i="2"/>
  <c r="T10" i="2"/>
  <c r="T9" i="2"/>
  <c r="T8" i="2"/>
  <c r="T7" i="2"/>
  <c r="T6" i="2"/>
  <c r="T4" i="2"/>
  <c r="T29" i="1"/>
  <c r="T10" i="1"/>
  <c r="T8" i="1"/>
  <c r="J27" i="2"/>
  <c r="J27" i="3"/>
  <c r="J27" i="4"/>
  <c r="J27" i="5"/>
  <c r="J27" i="6"/>
  <c r="J27" i="7"/>
  <c r="J27" i="8"/>
  <c r="J27" i="9"/>
  <c r="J27" i="10"/>
  <c r="J27" i="11"/>
  <c r="J27" i="12"/>
  <c r="J27" i="13"/>
  <c r="J27" i="14"/>
  <c r="J27" i="15"/>
  <c r="J27" i="16"/>
  <c r="S15" i="9" l="1"/>
  <c r="S19" i="9" s="1"/>
  <c r="T7" i="10"/>
  <c r="S15" i="4"/>
  <c r="S19" i="4" s="1"/>
  <c r="T31" i="16"/>
  <c r="T37" i="16" s="1"/>
  <c r="T38" i="16" s="1"/>
  <c r="T4" i="16"/>
  <c r="T15" i="16" s="1"/>
  <c r="T19" i="16" s="1"/>
  <c r="T4" i="13"/>
  <c r="T15" i="13" s="1"/>
  <c r="T19" i="13" s="1"/>
  <c r="T15" i="12"/>
  <c r="T19" i="12" s="1"/>
  <c r="T28" i="12"/>
  <c r="S19" i="12"/>
  <c r="S28" i="12"/>
  <c r="S28" i="10"/>
  <c r="T30" i="10"/>
  <c r="T28" i="9"/>
  <c r="T5" i="9"/>
  <c r="T15" i="9" s="1"/>
  <c r="T19" i="9" s="1"/>
  <c r="S28" i="9"/>
  <c r="T30" i="9"/>
  <c r="T5" i="8"/>
  <c r="T15" i="8" s="1"/>
  <c r="T19" i="8" s="1"/>
  <c r="S28" i="8"/>
  <c r="T30" i="8"/>
  <c r="T15" i="7"/>
  <c r="T19" i="7" s="1"/>
  <c r="T28" i="7"/>
  <c r="T5" i="7"/>
  <c r="S28" i="7"/>
  <c r="T30" i="7"/>
  <c r="T4" i="6"/>
  <c r="T15" i="6" s="1"/>
  <c r="T19" i="6" s="1"/>
  <c r="T37" i="5"/>
  <c r="T38" i="5" s="1"/>
  <c r="S37" i="5"/>
  <c r="T4" i="5"/>
  <c r="T4" i="4"/>
  <c r="T15" i="4" s="1"/>
  <c r="T19" i="4" s="1"/>
  <c r="T4" i="3"/>
  <c r="T15" i="3" s="1"/>
  <c r="T19" i="3" s="1"/>
  <c r="T28" i="2"/>
  <c r="T5" i="2"/>
  <c r="T15" i="2" s="1"/>
  <c r="T19" i="2" s="1"/>
  <c r="S28" i="2"/>
  <c r="T30" i="2"/>
  <c r="T39" i="16" l="1"/>
  <c r="J23" i="1" l="1"/>
  <c r="H35" i="1" l="1"/>
  <c r="J41" i="16"/>
  <c r="I41" i="16"/>
  <c r="H41" i="16"/>
  <c r="G41" i="16"/>
  <c r="F41" i="16"/>
  <c r="E41" i="16"/>
  <c r="D41" i="16"/>
  <c r="C41" i="16"/>
  <c r="J40" i="16"/>
  <c r="I40" i="16"/>
  <c r="H40" i="16"/>
  <c r="G40" i="16"/>
  <c r="F40" i="16"/>
  <c r="E40" i="16"/>
  <c r="D40" i="16"/>
  <c r="C40" i="16"/>
  <c r="K19" i="16"/>
  <c r="K18" i="16"/>
  <c r="K17" i="16"/>
  <c r="K16" i="16"/>
  <c r="L16" i="16" s="1"/>
  <c r="L5" i="16"/>
  <c r="I10" i="16"/>
  <c r="H10" i="16"/>
  <c r="E10" i="16"/>
  <c r="D10" i="16"/>
  <c r="C20" i="16" l="1"/>
  <c r="G20" i="16"/>
  <c r="D20" i="16"/>
  <c r="H20" i="16"/>
  <c r="E20" i="16"/>
  <c r="K33" i="16"/>
  <c r="K34" i="16"/>
  <c r="K35" i="16"/>
  <c r="K36" i="16"/>
  <c r="K38" i="16"/>
  <c r="K39" i="16"/>
  <c r="C10" i="16"/>
  <c r="G10" i="16"/>
  <c r="F10" i="16"/>
  <c r="J10" i="16"/>
  <c r="F20" i="16"/>
  <c r="J20" i="16"/>
  <c r="I28" i="16"/>
  <c r="M27" i="16"/>
  <c r="M28" i="16" s="1"/>
  <c r="L15" i="16"/>
  <c r="K40" i="16"/>
  <c r="I27" i="16"/>
  <c r="L17" i="16"/>
  <c r="K32" i="16"/>
  <c r="K37" i="16"/>
  <c r="K15" i="16"/>
  <c r="K20" i="16" s="1"/>
  <c r="I20" i="16"/>
  <c r="L4" i="16"/>
  <c r="L10" i="16" s="1"/>
  <c r="K41" i="16" l="1"/>
  <c r="J41" i="15"/>
  <c r="I41" i="15"/>
  <c r="H41" i="15"/>
  <c r="G41" i="15"/>
  <c r="F41" i="15"/>
  <c r="E41" i="15"/>
  <c r="D41" i="15"/>
  <c r="C41" i="15"/>
  <c r="J40" i="15"/>
  <c r="I40" i="15"/>
  <c r="H40" i="15"/>
  <c r="G40" i="15"/>
  <c r="F40" i="15"/>
  <c r="E40" i="15"/>
  <c r="D40" i="15"/>
  <c r="C40" i="15"/>
  <c r="K19" i="15"/>
  <c r="K18" i="15"/>
  <c r="K17" i="15"/>
  <c r="K16" i="15"/>
  <c r="K15" i="15"/>
  <c r="L5" i="15"/>
  <c r="S34" i="15" s="1"/>
  <c r="T34" i="15" s="1"/>
  <c r="H10" i="15"/>
  <c r="E10" i="15"/>
  <c r="D10" i="15"/>
  <c r="K20" i="15" l="1"/>
  <c r="L17" i="15"/>
  <c r="D20" i="15"/>
  <c r="H20" i="15"/>
  <c r="C20" i="15"/>
  <c r="G20" i="15"/>
  <c r="K33" i="15"/>
  <c r="K34" i="15"/>
  <c r="K35" i="15"/>
  <c r="K36" i="15"/>
  <c r="K38" i="15"/>
  <c r="K39" i="15"/>
  <c r="E20" i="15"/>
  <c r="L15" i="15"/>
  <c r="C10" i="15"/>
  <c r="G10" i="15"/>
  <c r="F10" i="15"/>
  <c r="J10" i="15"/>
  <c r="I27" i="15" s="1"/>
  <c r="F20" i="15"/>
  <c r="J20" i="15"/>
  <c r="J28" i="15" s="1"/>
  <c r="L16" i="15"/>
  <c r="K40" i="15"/>
  <c r="I28" i="15"/>
  <c r="I20" i="15"/>
  <c r="L4" i="15"/>
  <c r="K32" i="15"/>
  <c r="K37" i="15"/>
  <c r="S21" i="15" l="1"/>
  <c r="T21" i="15" s="1"/>
  <c r="S5" i="15"/>
  <c r="T5" i="15" s="1"/>
  <c r="S32" i="15"/>
  <c r="T32" i="15" s="1"/>
  <c r="S4" i="15"/>
  <c r="L10" i="15"/>
  <c r="S33" i="15"/>
  <c r="K41" i="15"/>
  <c r="M27" i="15"/>
  <c r="M28" i="15" s="1"/>
  <c r="J41" i="14"/>
  <c r="I41" i="14"/>
  <c r="H41" i="14"/>
  <c r="G41" i="14"/>
  <c r="F41" i="14"/>
  <c r="E41" i="14"/>
  <c r="D41" i="14"/>
  <c r="C41" i="14"/>
  <c r="J40" i="14"/>
  <c r="I40" i="14"/>
  <c r="H40" i="14"/>
  <c r="G40" i="14"/>
  <c r="F40" i="14"/>
  <c r="E40" i="14"/>
  <c r="D40" i="14"/>
  <c r="C40" i="14"/>
  <c r="K19" i="14"/>
  <c r="K18" i="14"/>
  <c r="K17" i="14"/>
  <c r="K16" i="14"/>
  <c r="J20" i="14"/>
  <c r="J28" i="14" s="1"/>
  <c r="H20" i="14"/>
  <c r="G20" i="14"/>
  <c r="F20" i="14"/>
  <c r="E20" i="14"/>
  <c r="D20" i="14"/>
  <c r="C20" i="14"/>
  <c r="J10" i="14"/>
  <c r="H10" i="14"/>
  <c r="G10" i="14"/>
  <c r="F10" i="14"/>
  <c r="E10" i="14"/>
  <c r="D10" i="14"/>
  <c r="C10" i="14"/>
  <c r="S21" i="14" l="1"/>
  <c r="T21" i="14" s="1"/>
  <c r="S5" i="14"/>
  <c r="T5" i="14" s="1"/>
  <c r="S15" i="15"/>
  <c r="S19" i="15" s="1"/>
  <c r="T4" i="15"/>
  <c r="T15" i="15" s="1"/>
  <c r="T19" i="15" s="1"/>
  <c r="T33" i="15"/>
  <c r="T37" i="15" s="1"/>
  <c r="T38" i="15" s="1"/>
  <c r="T39" i="15" s="1"/>
  <c r="S37" i="15"/>
  <c r="L5" i="14"/>
  <c r="S34" i="14" s="1"/>
  <c r="T34" i="14" s="1"/>
  <c r="I27" i="14"/>
  <c r="S31" i="14" s="1"/>
  <c r="K33" i="14"/>
  <c r="K34" i="14"/>
  <c r="K35" i="14"/>
  <c r="K36" i="14"/>
  <c r="K38" i="14"/>
  <c r="K39" i="14"/>
  <c r="K40" i="14"/>
  <c r="L16" i="14"/>
  <c r="S36" i="14" s="1"/>
  <c r="T36" i="14" s="1"/>
  <c r="L17" i="14"/>
  <c r="M27" i="14"/>
  <c r="M28" i="14" s="1"/>
  <c r="K15" i="14"/>
  <c r="K20" i="14" s="1"/>
  <c r="L4" i="14"/>
  <c r="S33" i="14" s="1"/>
  <c r="T33" i="14" s="1"/>
  <c r="K32" i="14"/>
  <c r="K37" i="14"/>
  <c r="S4" i="14" l="1"/>
  <c r="S32" i="14"/>
  <c r="T32" i="14" s="1"/>
  <c r="I28" i="14"/>
  <c r="T31" i="14"/>
  <c r="L10" i="14"/>
  <c r="K41" i="14"/>
  <c r="L15" i="14"/>
  <c r="S15" i="14" l="1"/>
  <c r="S19" i="14" s="1"/>
  <c r="T4" i="14"/>
  <c r="T15" i="14" s="1"/>
  <c r="T19" i="14" s="1"/>
  <c r="L20" i="14"/>
  <c r="S35" i="14"/>
  <c r="J41" i="13"/>
  <c r="I41" i="13"/>
  <c r="H41" i="13"/>
  <c r="G41" i="13"/>
  <c r="F41" i="13"/>
  <c r="E41" i="13"/>
  <c r="D41" i="13"/>
  <c r="C41" i="13"/>
  <c r="J40" i="13"/>
  <c r="I40" i="13"/>
  <c r="H40" i="13"/>
  <c r="G40" i="13"/>
  <c r="F40" i="13"/>
  <c r="E40" i="13"/>
  <c r="D40" i="13"/>
  <c r="C40" i="13"/>
  <c r="K19" i="13"/>
  <c r="K18" i="13"/>
  <c r="K17" i="13"/>
  <c r="K16" i="13"/>
  <c r="K15" i="13"/>
  <c r="G20" i="13"/>
  <c r="C20" i="13"/>
  <c r="L5" i="13"/>
  <c r="S34" i="13" s="1"/>
  <c r="T34" i="13" s="1"/>
  <c r="J10" i="13"/>
  <c r="H10" i="13"/>
  <c r="F10" i="13"/>
  <c r="E10" i="13"/>
  <c r="D10" i="13"/>
  <c r="T35" i="14" l="1"/>
  <c r="T37" i="14" s="1"/>
  <c r="T38" i="14" s="1"/>
  <c r="T39" i="14" s="1"/>
  <c r="S37" i="14"/>
  <c r="K20" i="13"/>
  <c r="L17" i="13"/>
  <c r="D20" i="13"/>
  <c r="H20" i="13"/>
  <c r="K40" i="13"/>
  <c r="K33" i="13"/>
  <c r="K34" i="13"/>
  <c r="K35" i="13"/>
  <c r="K36" i="13"/>
  <c r="K38" i="13"/>
  <c r="K39" i="13"/>
  <c r="E20" i="13"/>
  <c r="L15" i="13"/>
  <c r="C10" i="13"/>
  <c r="G10" i="13"/>
  <c r="F20" i="13"/>
  <c r="J20" i="13"/>
  <c r="L16" i="13"/>
  <c r="I27" i="13"/>
  <c r="I28" i="13" s="1"/>
  <c r="M27" i="13"/>
  <c r="M28" i="13" s="1"/>
  <c r="I20" i="13"/>
  <c r="L4" i="13"/>
  <c r="K32" i="13"/>
  <c r="K37" i="13"/>
  <c r="K41" i="13" s="1"/>
  <c r="L10" i="13" l="1"/>
  <c r="S33" i="13"/>
  <c r="J41" i="12"/>
  <c r="H41" i="12"/>
  <c r="F41" i="12"/>
  <c r="D41" i="12"/>
  <c r="J40" i="12"/>
  <c r="H40" i="12"/>
  <c r="F40" i="12"/>
  <c r="D40" i="12"/>
  <c r="K19" i="12"/>
  <c r="K18" i="12"/>
  <c r="K17" i="12"/>
  <c r="K16" i="12"/>
  <c r="K15" i="12"/>
  <c r="G20" i="12"/>
  <c r="C20" i="12"/>
  <c r="J10" i="12"/>
  <c r="G10" i="12"/>
  <c r="F10" i="12"/>
  <c r="C10" i="12"/>
  <c r="T33" i="13" l="1"/>
  <c r="T37" i="13" s="1"/>
  <c r="T38" i="13" s="1"/>
  <c r="T39" i="13" s="1"/>
  <c r="S37" i="13"/>
  <c r="K38" i="12"/>
  <c r="K39" i="12"/>
  <c r="F20" i="12"/>
  <c r="L17" i="12"/>
  <c r="K20" i="12"/>
  <c r="D10" i="12"/>
  <c r="H10" i="12"/>
  <c r="D20" i="12"/>
  <c r="H20" i="12"/>
  <c r="E40" i="12"/>
  <c r="I40" i="12"/>
  <c r="I27" i="12" s="1"/>
  <c r="E41" i="12"/>
  <c r="I41" i="12"/>
  <c r="E10" i="12"/>
  <c r="E20" i="12"/>
  <c r="C40" i="12"/>
  <c r="K40" i="12" s="1"/>
  <c r="G40" i="12"/>
  <c r="K33" i="12"/>
  <c r="K34" i="12"/>
  <c r="K35" i="12"/>
  <c r="K36" i="12"/>
  <c r="C41" i="12"/>
  <c r="G41" i="12"/>
  <c r="L16" i="12"/>
  <c r="I20" i="12"/>
  <c r="L4" i="12"/>
  <c r="S33" i="12" s="1"/>
  <c r="L15" i="12"/>
  <c r="J20" i="12"/>
  <c r="L5" i="12"/>
  <c r="S34" i="12" s="1"/>
  <c r="T34" i="12" s="1"/>
  <c r="K32" i="12"/>
  <c r="K37" i="12"/>
  <c r="T33" i="12" l="1"/>
  <c r="T37" i="12" s="1"/>
  <c r="T38" i="12" s="1"/>
  <c r="T39" i="12" s="1"/>
  <c r="S37" i="12"/>
  <c r="K41" i="12"/>
  <c r="M27" i="12"/>
  <c r="M28" i="12" s="1"/>
  <c r="L10" i="12"/>
  <c r="I28" i="12"/>
  <c r="J41" i="11" l="1"/>
  <c r="I41" i="11"/>
  <c r="H41" i="11"/>
  <c r="G41" i="11"/>
  <c r="F41" i="11"/>
  <c r="E41" i="11"/>
  <c r="D41" i="11"/>
  <c r="C41" i="11"/>
  <c r="J40" i="11"/>
  <c r="I40" i="11"/>
  <c r="H40" i="11"/>
  <c r="G40" i="11"/>
  <c r="F40" i="11"/>
  <c r="E40" i="11"/>
  <c r="D40" i="11"/>
  <c r="C40" i="11"/>
  <c r="K19" i="11"/>
  <c r="K18" i="11"/>
  <c r="K17" i="11"/>
  <c r="K16" i="11"/>
  <c r="K15" i="11"/>
  <c r="L4" i="11"/>
  <c r="S33" i="11" s="1"/>
  <c r="T33" i="11" s="1"/>
  <c r="H10" i="11"/>
  <c r="G10" i="11"/>
  <c r="D10" i="11"/>
  <c r="C10" i="11"/>
  <c r="E10" i="11" l="1"/>
  <c r="F10" i="11"/>
  <c r="J10" i="11"/>
  <c r="M27" i="11" s="1"/>
  <c r="M28" i="11" s="1"/>
  <c r="L16" i="11"/>
  <c r="S36" i="11" s="1"/>
  <c r="T36" i="11" s="1"/>
  <c r="L17" i="11"/>
  <c r="L19" i="11"/>
  <c r="K33" i="11"/>
  <c r="K34" i="11"/>
  <c r="K35" i="11"/>
  <c r="K36" i="11"/>
  <c r="K38" i="11"/>
  <c r="K39" i="11"/>
  <c r="K20" i="11"/>
  <c r="L15" i="11"/>
  <c r="K40" i="11"/>
  <c r="L5" i="11"/>
  <c r="K32" i="11"/>
  <c r="K37" i="11"/>
  <c r="L10" i="11" l="1"/>
  <c r="S34" i="11"/>
  <c r="T34" i="11" s="1"/>
  <c r="S35" i="11"/>
  <c r="T35" i="11" s="1"/>
  <c r="L20" i="11"/>
  <c r="S32" i="11"/>
  <c r="S4" i="11"/>
  <c r="I27" i="11"/>
  <c r="I28" i="11" s="1"/>
  <c r="K41" i="11"/>
  <c r="K39" i="10"/>
  <c r="K38" i="10"/>
  <c r="J41" i="10"/>
  <c r="I41" i="10"/>
  <c r="H41" i="10"/>
  <c r="G41" i="10"/>
  <c r="F41" i="10"/>
  <c r="E41" i="10"/>
  <c r="D41" i="10"/>
  <c r="C41" i="10"/>
  <c r="K36" i="10"/>
  <c r="K35" i="10"/>
  <c r="K34" i="10"/>
  <c r="K33" i="10"/>
  <c r="J40" i="10"/>
  <c r="I40" i="10"/>
  <c r="H40" i="10"/>
  <c r="G40" i="10"/>
  <c r="F40" i="10"/>
  <c r="E40" i="10"/>
  <c r="D40" i="10"/>
  <c r="C40" i="10"/>
  <c r="K19" i="10"/>
  <c r="K18" i="10"/>
  <c r="K17" i="10"/>
  <c r="L17" i="10" s="1"/>
  <c r="K16" i="10"/>
  <c r="K15" i="10"/>
  <c r="T32" i="11" l="1"/>
  <c r="T37" i="11" s="1"/>
  <c r="S37" i="11"/>
  <c r="S21" i="11"/>
  <c r="T21" i="11" s="1"/>
  <c r="S5" i="11"/>
  <c r="T5" i="11" s="1"/>
  <c r="T4" i="11"/>
  <c r="I27" i="10"/>
  <c r="L5" i="10"/>
  <c r="S34" i="10" s="1"/>
  <c r="T34" i="10" s="1"/>
  <c r="L16" i="10"/>
  <c r="S36" i="10" s="1"/>
  <c r="T36" i="10" s="1"/>
  <c r="M27" i="10"/>
  <c r="M28" i="10" s="1"/>
  <c r="K20" i="10"/>
  <c r="L15" i="10"/>
  <c r="K40" i="10"/>
  <c r="L4" i="10"/>
  <c r="S33" i="10" s="1"/>
  <c r="T33" i="10" s="1"/>
  <c r="K32" i="10"/>
  <c r="K37" i="10"/>
  <c r="K41" i="10" s="1"/>
  <c r="T15" i="11" l="1"/>
  <c r="T19" i="11" s="1"/>
  <c r="S15" i="11"/>
  <c r="S19" i="11" s="1"/>
  <c r="T38" i="11"/>
  <c r="S32" i="10"/>
  <c r="T32" i="10" s="1"/>
  <c r="S4" i="10"/>
  <c r="L20" i="10"/>
  <c r="S35" i="10"/>
  <c r="T35" i="10" s="1"/>
  <c r="I28" i="10"/>
  <c r="S31" i="10"/>
  <c r="L10" i="10"/>
  <c r="J41" i="9"/>
  <c r="I41" i="9"/>
  <c r="H41" i="9"/>
  <c r="G41" i="9"/>
  <c r="F41" i="9"/>
  <c r="E41" i="9"/>
  <c r="D41" i="9"/>
  <c r="C41" i="9"/>
  <c r="J40" i="9"/>
  <c r="I40" i="9"/>
  <c r="H40" i="9"/>
  <c r="G40" i="9"/>
  <c r="F40" i="9"/>
  <c r="E40" i="9"/>
  <c r="D40" i="9"/>
  <c r="C40" i="9"/>
  <c r="K19" i="9"/>
  <c r="K18" i="9"/>
  <c r="K17" i="9"/>
  <c r="K16" i="9"/>
  <c r="J20" i="9"/>
  <c r="F20" i="9"/>
  <c r="E20" i="9"/>
  <c r="H10" i="9"/>
  <c r="D10" i="9"/>
  <c r="T39" i="11" l="1"/>
  <c r="S5" i="10"/>
  <c r="T5" i="10" s="1"/>
  <c r="S21" i="10"/>
  <c r="T21" i="10" s="1"/>
  <c r="T4" i="10"/>
  <c r="S37" i="10"/>
  <c r="T31" i="10"/>
  <c r="T37" i="10" s="1"/>
  <c r="L5" i="9"/>
  <c r="S34" i="9" s="1"/>
  <c r="T34" i="9" s="1"/>
  <c r="L16" i="9"/>
  <c r="S36" i="9" s="1"/>
  <c r="T36" i="9" s="1"/>
  <c r="K33" i="9"/>
  <c r="K34" i="9"/>
  <c r="K35" i="9"/>
  <c r="K36" i="9"/>
  <c r="K38" i="9"/>
  <c r="K39" i="9"/>
  <c r="C10" i="9"/>
  <c r="G10" i="9"/>
  <c r="F10" i="9"/>
  <c r="J10" i="9"/>
  <c r="M27" i="9" s="1"/>
  <c r="M28" i="9" s="1"/>
  <c r="C20" i="9"/>
  <c r="G20" i="9"/>
  <c r="E10" i="9"/>
  <c r="D20" i="9"/>
  <c r="H20" i="9"/>
  <c r="K40" i="9"/>
  <c r="L17" i="9"/>
  <c r="K32" i="9"/>
  <c r="K37" i="9"/>
  <c r="K15" i="9"/>
  <c r="K20" i="9" s="1"/>
  <c r="L4" i="9"/>
  <c r="S33" i="9" s="1"/>
  <c r="T33" i="9" l="1"/>
  <c r="T38" i="10"/>
  <c r="T39" i="10" s="1"/>
  <c r="T15" i="10"/>
  <c r="T19" i="10" s="1"/>
  <c r="S15" i="10"/>
  <c r="S19" i="10" s="1"/>
  <c r="I27" i="9"/>
  <c r="I28" i="9" s="1"/>
  <c r="K41" i="9"/>
  <c r="L10" i="9"/>
  <c r="L15" i="9"/>
  <c r="J41" i="8"/>
  <c r="I41" i="8"/>
  <c r="H41" i="8"/>
  <c r="G41" i="8"/>
  <c r="F41" i="8"/>
  <c r="E41" i="8"/>
  <c r="D41" i="8"/>
  <c r="J40" i="8"/>
  <c r="I40" i="8"/>
  <c r="H40" i="8"/>
  <c r="G40" i="8"/>
  <c r="F40" i="8"/>
  <c r="E40" i="8"/>
  <c r="D40" i="8"/>
  <c r="C40" i="8"/>
  <c r="K19" i="8"/>
  <c r="K18" i="8"/>
  <c r="K17" i="8"/>
  <c r="K16" i="8"/>
  <c r="L16" i="8" s="1"/>
  <c r="S36" i="8" s="1"/>
  <c r="T36" i="8" s="1"/>
  <c r="G20" i="8"/>
  <c r="C20" i="8"/>
  <c r="L5" i="8"/>
  <c r="S34" i="8" s="1"/>
  <c r="T34" i="8" s="1"/>
  <c r="J10" i="8"/>
  <c r="F10" i="8"/>
  <c r="E10" i="8"/>
  <c r="L20" i="9" l="1"/>
  <c r="S35" i="9"/>
  <c r="K33" i="8"/>
  <c r="K34" i="8"/>
  <c r="K35" i="8"/>
  <c r="K36" i="8"/>
  <c r="K37" i="8"/>
  <c r="K38" i="8"/>
  <c r="K39" i="8"/>
  <c r="L17" i="8"/>
  <c r="C10" i="8"/>
  <c r="G10" i="8"/>
  <c r="D10" i="8"/>
  <c r="H10" i="8"/>
  <c r="D20" i="8"/>
  <c r="H20" i="8"/>
  <c r="E20" i="8"/>
  <c r="I27" i="8"/>
  <c r="I28" i="8" s="1"/>
  <c r="F20" i="8"/>
  <c r="J20" i="8"/>
  <c r="K40" i="8"/>
  <c r="M27" i="8"/>
  <c r="M28" i="8" s="1"/>
  <c r="C41" i="8"/>
  <c r="K15" i="8"/>
  <c r="K20" i="8" s="1"/>
  <c r="L4" i="8"/>
  <c r="K32" i="8"/>
  <c r="T35" i="9" l="1"/>
  <c r="T37" i="9" s="1"/>
  <c r="T38" i="9" s="1"/>
  <c r="T39" i="9" s="1"/>
  <c r="S37" i="9"/>
  <c r="L10" i="8"/>
  <c r="S33" i="8"/>
  <c r="K41" i="8"/>
  <c r="L15" i="8"/>
  <c r="J41" i="7"/>
  <c r="I41" i="7"/>
  <c r="H41" i="7"/>
  <c r="G41" i="7"/>
  <c r="F41" i="7"/>
  <c r="E41" i="7"/>
  <c r="D41" i="7"/>
  <c r="C41" i="7"/>
  <c r="J40" i="7"/>
  <c r="H40" i="7"/>
  <c r="G40" i="7"/>
  <c r="F40" i="7"/>
  <c r="D40" i="7"/>
  <c r="C40" i="7"/>
  <c r="K19" i="7"/>
  <c r="K18" i="7"/>
  <c r="K17" i="7"/>
  <c r="K16" i="7"/>
  <c r="K15" i="7"/>
  <c r="G20" i="7"/>
  <c r="C20" i="7"/>
  <c r="J10" i="7"/>
  <c r="G10" i="7"/>
  <c r="F10" i="7"/>
  <c r="E10" i="7"/>
  <c r="C10" i="7"/>
  <c r="L20" i="8" l="1"/>
  <c r="S35" i="8"/>
  <c r="T35" i="8" s="1"/>
  <c r="S37" i="8"/>
  <c r="T33" i="8"/>
  <c r="T37" i="8" s="1"/>
  <c r="T38" i="8" s="1"/>
  <c r="T39" i="8" s="1"/>
  <c r="L5" i="7"/>
  <c r="S34" i="7" s="1"/>
  <c r="T34" i="7" s="1"/>
  <c r="K34" i="7"/>
  <c r="K20" i="7"/>
  <c r="L17" i="7"/>
  <c r="D10" i="7"/>
  <c r="H10" i="7"/>
  <c r="D20" i="7"/>
  <c r="H20" i="7"/>
  <c r="K33" i="7"/>
  <c r="L15" i="7"/>
  <c r="K35" i="7"/>
  <c r="K36" i="7"/>
  <c r="K38" i="7"/>
  <c r="K39" i="7"/>
  <c r="I27" i="7"/>
  <c r="I28" i="7" s="1"/>
  <c r="F20" i="7"/>
  <c r="J20" i="7"/>
  <c r="E20" i="7"/>
  <c r="L16" i="7"/>
  <c r="E40" i="7"/>
  <c r="I40" i="7"/>
  <c r="M27" i="7"/>
  <c r="M28" i="7" s="1"/>
  <c r="L4" i="7"/>
  <c r="S33" i="7" s="1"/>
  <c r="I20" i="7"/>
  <c r="K32" i="7"/>
  <c r="K37" i="7"/>
  <c r="K41" i="7" s="1"/>
  <c r="T33" i="7" l="1"/>
  <c r="T37" i="7" s="1"/>
  <c r="T38" i="7" s="1"/>
  <c r="T39" i="7" s="1"/>
  <c r="S37" i="7"/>
  <c r="L10" i="7"/>
  <c r="K40" i="7"/>
  <c r="J41" i="6"/>
  <c r="I41" i="6"/>
  <c r="H41" i="6"/>
  <c r="G41" i="6"/>
  <c r="F41" i="6"/>
  <c r="E41" i="6"/>
  <c r="D41" i="6"/>
  <c r="C41" i="6"/>
  <c r="J40" i="6"/>
  <c r="I40" i="6"/>
  <c r="H40" i="6"/>
  <c r="G40" i="6"/>
  <c r="F40" i="6"/>
  <c r="E40" i="6"/>
  <c r="D40" i="6"/>
  <c r="C40" i="6"/>
  <c r="K19" i="6"/>
  <c r="K18" i="6"/>
  <c r="K17" i="6"/>
  <c r="K16" i="6"/>
  <c r="K15" i="6"/>
  <c r="I20" i="6"/>
  <c r="H20" i="6"/>
  <c r="E20" i="6"/>
  <c r="D20" i="6"/>
  <c r="H10" i="6"/>
  <c r="D10" i="6"/>
  <c r="K40" i="6" l="1"/>
  <c r="K33" i="6"/>
  <c r="K34" i="6"/>
  <c r="K35" i="6"/>
  <c r="K36" i="6"/>
  <c r="K38" i="6"/>
  <c r="K39" i="6"/>
  <c r="L4" i="6"/>
  <c r="S33" i="6" s="1"/>
  <c r="C20" i="6"/>
  <c r="G20" i="6"/>
  <c r="E10" i="6"/>
  <c r="C10" i="6"/>
  <c r="G10" i="6"/>
  <c r="F10" i="6"/>
  <c r="J10" i="6"/>
  <c r="I27" i="6" s="1"/>
  <c r="I28" i="6" s="1"/>
  <c r="F20" i="6"/>
  <c r="L16" i="6"/>
  <c r="L17" i="6"/>
  <c r="K20" i="6"/>
  <c r="L15" i="6"/>
  <c r="J20" i="6"/>
  <c r="L5" i="6"/>
  <c r="S34" i="6" s="1"/>
  <c r="T34" i="6" s="1"/>
  <c r="K32" i="6"/>
  <c r="K37" i="6"/>
  <c r="T33" i="6" l="1"/>
  <c r="T37" i="6" s="1"/>
  <c r="T38" i="6" s="1"/>
  <c r="T39" i="6" s="1"/>
  <c r="S37" i="6"/>
  <c r="L10" i="6"/>
  <c r="K41" i="6"/>
  <c r="M27" i="6"/>
  <c r="M28" i="6" s="1"/>
  <c r="J41" i="5"/>
  <c r="I41" i="5"/>
  <c r="H41" i="5"/>
  <c r="G41" i="5"/>
  <c r="F41" i="5"/>
  <c r="E41" i="5"/>
  <c r="D41" i="5"/>
  <c r="C41" i="5"/>
  <c r="J40" i="5"/>
  <c r="I40" i="5"/>
  <c r="H40" i="5"/>
  <c r="G40" i="5"/>
  <c r="F40" i="5"/>
  <c r="E40" i="5"/>
  <c r="D40" i="5"/>
  <c r="C40" i="5"/>
  <c r="K19" i="5"/>
  <c r="K18" i="5"/>
  <c r="K17" i="5"/>
  <c r="K15" i="5"/>
  <c r="G20" i="5"/>
  <c r="C20" i="5"/>
  <c r="G10" i="5"/>
  <c r="F10" i="5"/>
  <c r="C10" i="5"/>
  <c r="S14" i="5" s="1"/>
  <c r="T14" i="5" l="1"/>
  <c r="T15" i="5" s="1"/>
  <c r="T19" i="5" s="1"/>
  <c r="T39" i="5" s="1"/>
  <c r="S15" i="5"/>
  <c r="S19" i="5" s="1"/>
  <c r="L5" i="5"/>
  <c r="F20" i="5"/>
  <c r="J20" i="5"/>
  <c r="L17" i="5"/>
  <c r="D20" i="5"/>
  <c r="H20" i="5"/>
  <c r="D10" i="5"/>
  <c r="H10" i="5"/>
  <c r="E10" i="5"/>
  <c r="L4" i="5"/>
  <c r="E20" i="5"/>
  <c r="K40" i="5"/>
  <c r="K33" i="5"/>
  <c r="K34" i="5"/>
  <c r="K35" i="5"/>
  <c r="K36" i="5"/>
  <c r="K38" i="5"/>
  <c r="K39" i="5"/>
  <c r="I20" i="5"/>
  <c r="I10" i="5"/>
  <c r="L15" i="5"/>
  <c r="J10" i="5"/>
  <c r="I27" i="5" s="1"/>
  <c r="I28" i="5" s="1"/>
  <c r="K16" i="5"/>
  <c r="K20" i="5" s="1"/>
  <c r="K32" i="5"/>
  <c r="K37" i="5"/>
  <c r="L10" i="5" l="1"/>
  <c r="K41" i="5"/>
  <c r="L16" i="5"/>
  <c r="M27" i="5"/>
  <c r="M28" i="5" s="1"/>
  <c r="J41" i="4" l="1"/>
  <c r="I41" i="4"/>
  <c r="H41" i="4"/>
  <c r="G41" i="4"/>
  <c r="F41" i="4"/>
  <c r="E41" i="4"/>
  <c r="D41" i="4"/>
  <c r="C41" i="4"/>
  <c r="H48" i="4"/>
  <c r="J40" i="4"/>
  <c r="I40" i="4"/>
  <c r="H40" i="4"/>
  <c r="G40" i="4"/>
  <c r="F40" i="4"/>
  <c r="E40" i="4"/>
  <c r="D40" i="4"/>
  <c r="C40" i="4"/>
  <c r="K19" i="4"/>
  <c r="K18" i="4"/>
  <c r="K17" i="4"/>
  <c r="K16" i="4"/>
  <c r="K15" i="4"/>
  <c r="F20" i="4"/>
  <c r="E20" i="4"/>
  <c r="J12" i="1"/>
  <c r="J10" i="4"/>
  <c r="I27" i="4" s="1"/>
  <c r="H10" i="4"/>
  <c r="F10" i="4"/>
  <c r="E10" i="4"/>
  <c r="D10" i="4"/>
  <c r="L16" i="4" l="1"/>
  <c r="S36" i="4" s="1"/>
  <c r="T36" i="4" s="1"/>
  <c r="K40" i="4"/>
  <c r="K33" i="4"/>
  <c r="K34" i="4"/>
  <c r="K35" i="4"/>
  <c r="K36" i="4"/>
  <c r="K38" i="4"/>
  <c r="K39" i="4"/>
  <c r="C10" i="4"/>
  <c r="G10" i="4"/>
  <c r="K20" i="4"/>
  <c r="C20" i="4"/>
  <c r="G20" i="4"/>
  <c r="L5" i="4"/>
  <c r="S34" i="4" s="1"/>
  <c r="T34" i="4" s="1"/>
  <c r="D20" i="4"/>
  <c r="H20" i="4"/>
  <c r="I28" i="4"/>
  <c r="M27" i="4"/>
  <c r="M28" i="4" s="1"/>
  <c r="K32" i="4"/>
  <c r="L15" i="4"/>
  <c r="J20" i="4"/>
  <c r="K37" i="4"/>
  <c r="L4" i="4"/>
  <c r="S33" i="4" s="1"/>
  <c r="I41" i="3"/>
  <c r="H41" i="3"/>
  <c r="G41" i="3"/>
  <c r="F41" i="3"/>
  <c r="E41" i="3"/>
  <c r="D41" i="3"/>
  <c r="C41" i="3"/>
  <c r="J40" i="3"/>
  <c r="I40" i="3"/>
  <c r="H40" i="3"/>
  <c r="G40" i="3"/>
  <c r="F40" i="3"/>
  <c r="E40" i="3"/>
  <c r="D40" i="3"/>
  <c r="C40" i="3"/>
  <c r="K19" i="3"/>
  <c r="K18" i="3"/>
  <c r="K17" i="3"/>
  <c r="K16" i="3"/>
  <c r="K15" i="3"/>
  <c r="H20" i="3"/>
  <c r="L4" i="3"/>
  <c r="S33" i="3" s="1"/>
  <c r="T33" i="3" s="1"/>
  <c r="H10" i="3"/>
  <c r="S35" i="4" l="1"/>
  <c r="T35" i="4" s="1"/>
  <c r="L20" i="4"/>
  <c r="T33" i="4"/>
  <c r="T37" i="4" s="1"/>
  <c r="T38" i="4" s="1"/>
  <c r="T39" i="4" s="1"/>
  <c r="S37" i="4"/>
  <c r="L19" i="3"/>
  <c r="L15" i="3"/>
  <c r="S35" i="3" s="1"/>
  <c r="T35" i="3" s="1"/>
  <c r="D10" i="3"/>
  <c r="D20" i="3"/>
  <c r="L10" i="4"/>
  <c r="K41" i="4"/>
  <c r="F20" i="3"/>
  <c r="L16" i="3"/>
  <c r="S36" i="3" s="1"/>
  <c r="T36" i="3" s="1"/>
  <c r="L17" i="3"/>
  <c r="C10" i="3"/>
  <c r="G10" i="3"/>
  <c r="F10" i="3"/>
  <c r="J10" i="3"/>
  <c r="I27" i="3" s="1"/>
  <c r="J41" i="3"/>
  <c r="E10" i="3"/>
  <c r="E20" i="3"/>
  <c r="C20" i="3"/>
  <c r="G20" i="3"/>
  <c r="K33" i="3"/>
  <c r="K34" i="3"/>
  <c r="K35" i="3"/>
  <c r="K36" i="3"/>
  <c r="K38" i="3"/>
  <c r="K39" i="3"/>
  <c r="K20" i="3"/>
  <c r="K40" i="3"/>
  <c r="K32" i="3"/>
  <c r="K37" i="3"/>
  <c r="J20" i="3"/>
  <c r="L5" i="3"/>
  <c r="L10" i="3" l="1"/>
  <c r="S34" i="3"/>
  <c r="T34" i="3" s="1"/>
  <c r="I28" i="3"/>
  <c r="S31" i="3"/>
  <c r="K41" i="3"/>
  <c r="M27" i="3"/>
  <c r="M28" i="3" s="1"/>
  <c r="J39" i="1"/>
  <c r="I39" i="1"/>
  <c r="H39" i="1"/>
  <c r="G39" i="1"/>
  <c r="F39" i="1"/>
  <c r="E39" i="1"/>
  <c r="D39" i="1"/>
  <c r="C39" i="1"/>
  <c r="J38" i="1"/>
  <c r="I38" i="1"/>
  <c r="H38" i="1"/>
  <c r="G38" i="1"/>
  <c r="F38" i="1"/>
  <c r="E38" i="1"/>
  <c r="D38" i="1"/>
  <c r="C38" i="1"/>
  <c r="I37" i="1"/>
  <c r="J36" i="1"/>
  <c r="I36" i="1"/>
  <c r="J78" i="18" s="1"/>
  <c r="H36" i="1"/>
  <c r="G36" i="1"/>
  <c r="F36" i="1"/>
  <c r="E36" i="1"/>
  <c r="D36" i="1"/>
  <c r="C36" i="1"/>
  <c r="J35" i="1"/>
  <c r="I35" i="1"/>
  <c r="G35" i="1"/>
  <c r="F35" i="1"/>
  <c r="E35" i="1"/>
  <c r="D35" i="1"/>
  <c r="C35" i="1"/>
  <c r="J34" i="1"/>
  <c r="I34" i="1"/>
  <c r="J77" i="18" s="1"/>
  <c r="H34" i="1"/>
  <c r="G34" i="1"/>
  <c r="F34" i="1"/>
  <c r="E34" i="1"/>
  <c r="D34" i="1"/>
  <c r="C34" i="1"/>
  <c r="J33" i="1"/>
  <c r="I33" i="1"/>
  <c r="J76" i="18" s="1"/>
  <c r="H33" i="1"/>
  <c r="G33" i="1"/>
  <c r="F27" i="18" s="1"/>
  <c r="F33" i="1"/>
  <c r="F60" i="18" s="1"/>
  <c r="E33" i="1"/>
  <c r="F42" i="18" s="1"/>
  <c r="D33" i="1"/>
  <c r="F31" i="18" s="1"/>
  <c r="C33" i="1"/>
  <c r="H19" i="1"/>
  <c r="G19" i="1"/>
  <c r="F19" i="1"/>
  <c r="E19" i="1"/>
  <c r="D19" i="1"/>
  <c r="C19" i="1"/>
  <c r="H18" i="1"/>
  <c r="G18" i="1"/>
  <c r="F18" i="1"/>
  <c r="E18" i="1"/>
  <c r="D18" i="1"/>
  <c r="C18" i="1"/>
  <c r="I18" i="1" s="1"/>
  <c r="H17" i="1"/>
  <c r="G17" i="1"/>
  <c r="F17" i="1"/>
  <c r="E17" i="1"/>
  <c r="D17" i="1"/>
  <c r="C17" i="1"/>
  <c r="H16" i="1"/>
  <c r="G16" i="1"/>
  <c r="F16" i="1"/>
  <c r="E16" i="1"/>
  <c r="D16" i="1"/>
  <c r="C16" i="1"/>
  <c r="J15" i="1"/>
  <c r="F86" i="18" s="1"/>
  <c r="H15" i="1"/>
  <c r="G15" i="1"/>
  <c r="F15" i="1"/>
  <c r="E15" i="1"/>
  <c r="D15" i="1"/>
  <c r="C15" i="1"/>
  <c r="J9" i="1"/>
  <c r="H9" i="1"/>
  <c r="G9" i="1"/>
  <c r="F9" i="1"/>
  <c r="E9" i="1"/>
  <c r="D9" i="1"/>
  <c r="C9" i="1"/>
  <c r="J8" i="1"/>
  <c r="H8" i="1"/>
  <c r="G8" i="1"/>
  <c r="F8" i="1"/>
  <c r="E8" i="1"/>
  <c r="D8" i="1"/>
  <c r="C8" i="1"/>
  <c r="J7" i="1"/>
  <c r="F79" i="18" s="1"/>
  <c r="H7" i="1"/>
  <c r="G7" i="1"/>
  <c r="F7" i="1"/>
  <c r="E7" i="1"/>
  <c r="D7" i="1"/>
  <c r="C7" i="1"/>
  <c r="J6" i="1"/>
  <c r="H6" i="1"/>
  <c r="G6" i="1"/>
  <c r="F6" i="1"/>
  <c r="E6" i="1"/>
  <c r="D6" i="1"/>
  <c r="C6" i="1"/>
  <c r="J5" i="1"/>
  <c r="F76" i="18" s="1"/>
  <c r="H5" i="1"/>
  <c r="F5" i="1"/>
  <c r="B79" i="18" s="1"/>
  <c r="E5" i="1"/>
  <c r="C5" i="1"/>
  <c r="H4" i="1"/>
  <c r="D4" i="1"/>
  <c r="S17" i="1" l="1"/>
  <c r="T17" i="1" s="1"/>
  <c r="I16" i="1"/>
  <c r="B96" i="18"/>
  <c r="I15" i="1"/>
  <c r="F47" i="18"/>
  <c r="B92" i="18"/>
  <c r="H10" i="1"/>
  <c r="F49" i="18"/>
  <c r="B81" i="18"/>
  <c r="F78" i="18"/>
  <c r="S18" i="1"/>
  <c r="T18" i="1" s="1"/>
  <c r="F24" i="18"/>
  <c r="B97" i="18"/>
  <c r="B78" i="18"/>
  <c r="F41" i="18"/>
  <c r="F82" i="18"/>
  <c r="S16" i="1"/>
  <c r="T16" i="1" s="1"/>
  <c r="D10" i="1"/>
  <c r="B88" i="18"/>
  <c r="F35" i="18"/>
  <c r="I17" i="1"/>
  <c r="I19" i="1"/>
  <c r="M6" i="1"/>
  <c r="I6" i="1"/>
  <c r="I9" i="1"/>
  <c r="M9" i="1"/>
  <c r="I8" i="1"/>
  <c r="M8" i="1"/>
  <c r="B76" i="18"/>
  <c r="I7" i="1"/>
  <c r="M7" i="1"/>
  <c r="T31" i="3"/>
  <c r="T37" i="3" s="1"/>
  <c r="T38" i="3" s="1"/>
  <c r="T39" i="3" s="1"/>
  <c r="S37" i="3"/>
  <c r="G5" i="1"/>
  <c r="D5" i="1"/>
  <c r="G10" i="2"/>
  <c r="G4" i="1"/>
  <c r="E10" i="2"/>
  <c r="E4" i="1"/>
  <c r="E10" i="1" s="1"/>
  <c r="E40" i="2"/>
  <c r="E32" i="1"/>
  <c r="I40" i="2"/>
  <c r="I27" i="2" s="1"/>
  <c r="I32" i="1"/>
  <c r="E41" i="2"/>
  <c r="E37" i="1"/>
  <c r="F10" i="2"/>
  <c r="F4" i="1"/>
  <c r="F10" i="1" s="1"/>
  <c r="J10" i="2"/>
  <c r="J4" i="1"/>
  <c r="F87" i="18" s="1"/>
  <c r="K16" i="2"/>
  <c r="J16" i="1"/>
  <c r="F96" i="18" s="1"/>
  <c r="K17" i="2"/>
  <c r="J17" i="1"/>
  <c r="K18" i="2"/>
  <c r="J18" i="1"/>
  <c r="K19" i="2"/>
  <c r="J19" i="1"/>
  <c r="F40" i="2"/>
  <c r="F32" i="1"/>
  <c r="J40" i="2"/>
  <c r="J32" i="1"/>
  <c r="F41" i="2"/>
  <c r="F37" i="1"/>
  <c r="J41" i="2"/>
  <c r="J37" i="1"/>
  <c r="C10" i="2"/>
  <c r="C4" i="1"/>
  <c r="C40" i="2"/>
  <c r="C32" i="1"/>
  <c r="G40" i="2"/>
  <c r="G32" i="1"/>
  <c r="C41" i="2"/>
  <c r="C37" i="1"/>
  <c r="G41" i="2"/>
  <c r="G37" i="1"/>
  <c r="D40" i="2"/>
  <c r="D32" i="1"/>
  <c r="H40" i="2"/>
  <c r="H32" i="1"/>
  <c r="D41" i="2"/>
  <c r="D37" i="1"/>
  <c r="H41" i="2"/>
  <c r="H37" i="1"/>
  <c r="F20" i="2"/>
  <c r="J20" i="2"/>
  <c r="L16" i="2"/>
  <c r="S36" i="2" s="1"/>
  <c r="T36" i="2" s="1"/>
  <c r="C20" i="2"/>
  <c r="G20" i="2"/>
  <c r="K15" i="2"/>
  <c r="L17" i="2"/>
  <c r="I41" i="2"/>
  <c r="D10" i="2"/>
  <c r="D20" i="2"/>
  <c r="H20" i="2"/>
  <c r="K33" i="2"/>
  <c r="K34" i="2"/>
  <c r="K35" i="2"/>
  <c r="K36" i="2"/>
  <c r="K38" i="2"/>
  <c r="K39" i="2"/>
  <c r="H10" i="2"/>
  <c r="L5" i="2"/>
  <c r="S34" i="2" s="1"/>
  <c r="T34" i="2" s="1"/>
  <c r="E20" i="2"/>
  <c r="L15" i="2"/>
  <c r="L19" i="2"/>
  <c r="L4" i="2"/>
  <c r="K32" i="2"/>
  <c r="K37" i="2"/>
  <c r="B80" i="18" l="1"/>
  <c r="F25" i="18"/>
  <c r="B77" i="18"/>
  <c r="F37" i="18"/>
  <c r="I5" i="1"/>
  <c r="B82" i="18" s="1"/>
  <c r="G10" i="1"/>
  <c r="F23" i="18"/>
  <c r="B91" i="18"/>
  <c r="B75" i="18"/>
  <c r="M5" i="1"/>
  <c r="G80" i="18"/>
  <c r="I4" i="1"/>
  <c r="M4" i="1"/>
  <c r="B86" i="18"/>
  <c r="B85" i="18" s="1"/>
  <c r="G85" i="18" s="1"/>
  <c r="C10" i="1"/>
  <c r="M10" i="1" s="1"/>
  <c r="K4" i="1"/>
  <c r="F88" i="18" s="1"/>
  <c r="G87" i="18" s="1"/>
  <c r="K5" i="1"/>
  <c r="F80" i="18" s="1"/>
  <c r="G76" i="18" s="1"/>
  <c r="S35" i="2"/>
  <c r="T35" i="2" s="1"/>
  <c r="L20" i="2"/>
  <c r="L10" i="2"/>
  <c r="S33" i="2"/>
  <c r="K40" i="2"/>
  <c r="K20" i="2"/>
  <c r="M27" i="2"/>
  <c r="M28" i="2" s="1"/>
  <c r="I28" i="2"/>
  <c r="K41" i="2"/>
  <c r="F75" i="18" l="1"/>
  <c r="H75" i="18" s="1"/>
  <c r="L81" i="18"/>
  <c r="B93" i="18"/>
  <c r="I10" i="1"/>
  <c r="S37" i="2"/>
  <c r="T33" i="2"/>
  <c r="T37" i="2" s="1"/>
  <c r="T38" i="2" s="1"/>
  <c r="T39" i="2" s="1"/>
  <c r="F43" i="18"/>
  <c r="F40" i="18" s="1"/>
  <c r="F56" i="18"/>
  <c r="F50" i="18"/>
  <c r="O52" i="1" l="1"/>
  <c r="O51" i="1" s="1"/>
  <c r="F30" i="18" l="1"/>
  <c r="F34" i="18" l="1"/>
  <c r="F18" i="18" l="1"/>
  <c r="F17" i="18"/>
  <c r="F58" i="18"/>
  <c r="F16" i="18"/>
  <c r="F15" i="18"/>
  <c r="F51" i="18"/>
  <c r="F65" i="18"/>
  <c r="D20" i="1"/>
  <c r="F57" i="18"/>
  <c r="F66" i="18"/>
  <c r="S7" i="1" l="1"/>
  <c r="B34" i="18"/>
  <c r="J5" i="18" s="1"/>
  <c r="F46" i="18"/>
  <c r="K16" i="1"/>
  <c r="K19" i="1"/>
  <c r="F41" i="1"/>
  <c r="F40" i="1"/>
  <c r="B54" i="18" s="1"/>
  <c r="J9" i="18" s="1"/>
  <c r="K17" i="1"/>
  <c r="L17" i="1" s="1"/>
  <c r="F20" i="1"/>
  <c r="J10" i="1"/>
  <c r="C41" i="1"/>
  <c r="F72" i="18" s="1"/>
  <c r="J41" i="1"/>
  <c r="F19" i="18" s="1"/>
  <c r="J40" i="1"/>
  <c r="K15" i="1"/>
  <c r="B12" i="18" s="1"/>
  <c r="I41" i="1"/>
  <c r="J79" i="18" s="1"/>
  <c r="I40" i="1"/>
  <c r="L4" i="1"/>
  <c r="G89" i="18" s="1"/>
  <c r="L5" i="1"/>
  <c r="G20" i="1"/>
  <c r="F68" i="18"/>
  <c r="K33" i="1"/>
  <c r="S23" i="1" s="1"/>
  <c r="F69" i="18"/>
  <c r="K34" i="1"/>
  <c r="S24" i="1" s="1"/>
  <c r="F70" i="18"/>
  <c r="K35" i="1"/>
  <c r="S25" i="1" s="1"/>
  <c r="F71" i="18"/>
  <c r="K36" i="1"/>
  <c r="S26" i="1" s="1"/>
  <c r="K38" i="1"/>
  <c r="K39" i="1"/>
  <c r="H20" i="1"/>
  <c r="D40" i="1"/>
  <c r="H41" i="1"/>
  <c r="D41" i="1"/>
  <c r="H40" i="1"/>
  <c r="C20" i="1"/>
  <c r="E20" i="1"/>
  <c r="K18" i="1"/>
  <c r="E41" i="1"/>
  <c r="T7" i="1" l="1"/>
  <c r="B30" i="18"/>
  <c r="J4" i="18" s="1"/>
  <c r="S9" i="1"/>
  <c r="T9" i="1" s="1"/>
  <c r="K75" i="18"/>
  <c r="S12" i="1"/>
  <c r="B45" i="18"/>
  <c r="J8" i="18" s="1"/>
  <c r="B13" i="18"/>
  <c r="F97" i="18"/>
  <c r="S37" i="1"/>
  <c r="T37" i="1" s="1"/>
  <c r="I20" i="1"/>
  <c r="S6" i="1"/>
  <c r="S13" i="1"/>
  <c r="G77" i="18"/>
  <c r="S34" i="1"/>
  <c r="T34" i="1" s="1"/>
  <c r="S33" i="1"/>
  <c r="J17" i="18"/>
  <c r="T25" i="1"/>
  <c r="J15" i="18"/>
  <c r="T23" i="1"/>
  <c r="T12" i="1"/>
  <c r="J18" i="18"/>
  <c r="T26" i="1"/>
  <c r="J16" i="18"/>
  <c r="T24" i="1"/>
  <c r="J27" i="1"/>
  <c r="T13" i="1"/>
  <c r="B15" i="18"/>
  <c r="B6" i="18"/>
  <c r="L10" i="1"/>
  <c r="B4" i="18"/>
  <c r="B16" i="18"/>
  <c r="L16" i="1"/>
  <c r="F98" i="18" s="1"/>
  <c r="F14" i="18"/>
  <c r="F59" i="18"/>
  <c r="F64" i="18"/>
  <c r="G41" i="1"/>
  <c r="F26" i="18" s="1"/>
  <c r="I27" i="1"/>
  <c r="L15" i="1"/>
  <c r="K20" i="1"/>
  <c r="J20" i="1"/>
  <c r="J28" i="1" s="1"/>
  <c r="B17" i="18" s="1"/>
  <c r="B11" i="18" s="1"/>
  <c r="J2" i="18" s="1"/>
  <c r="M27" i="1"/>
  <c r="M28" i="1" s="1"/>
  <c r="G40" i="1"/>
  <c r="B22" i="18" s="1"/>
  <c r="J3" i="18" s="1"/>
  <c r="E40" i="1"/>
  <c r="B40" i="18" s="1"/>
  <c r="J7" i="18" s="1"/>
  <c r="K37" i="1"/>
  <c r="K41" i="1" s="1"/>
  <c r="S27" i="1" s="1"/>
  <c r="F67" i="18"/>
  <c r="C40" i="1"/>
  <c r="K32" i="1"/>
  <c r="S22" i="1" s="1"/>
  <c r="F12" i="18" l="1"/>
  <c r="S30" i="1"/>
  <c r="S11" i="1"/>
  <c r="T11" i="1" s="1"/>
  <c r="G98" i="18"/>
  <c r="T6" i="1"/>
  <c r="G90" i="18"/>
  <c r="S35" i="1"/>
  <c r="S14" i="1"/>
  <c r="T14" i="1" s="1"/>
  <c r="K21" i="1"/>
  <c r="F13" i="18" s="1"/>
  <c r="G12" i="18" s="1"/>
  <c r="T33" i="1"/>
  <c r="C16" i="18"/>
  <c r="G19" i="18"/>
  <c r="J80" i="18"/>
  <c r="S31" i="1"/>
  <c r="T31" i="1" s="1"/>
  <c r="S4" i="1"/>
  <c r="S32" i="1"/>
  <c r="S36" i="1"/>
  <c r="T36" i="1" s="1"/>
  <c r="T35" i="1"/>
  <c r="L20" i="1"/>
  <c r="S5" i="1"/>
  <c r="J14" i="18"/>
  <c r="J19" i="18"/>
  <c r="T27" i="1"/>
  <c r="K40" i="1"/>
  <c r="F22" i="18"/>
  <c r="F54" i="18"/>
  <c r="F63" i="18"/>
  <c r="I28" i="1"/>
  <c r="G72" i="18"/>
  <c r="B63" i="18"/>
  <c r="J10" i="18" s="1"/>
  <c r="J75" i="18" l="1"/>
  <c r="G92" i="18"/>
  <c r="F89" i="18"/>
  <c r="J13" i="18" s="1"/>
  <c r="S38" i="1"/>
  <c r="F11" i="18"/>
  <c r="K81" i="18"/>
  <c r="T32" i="1"/>
  <c r="J20" i="18"/>
  <c r="K17" i="18" s="1"/>
  <c r="T30" i="1"/>
  <c r="S21" i="1"/>
  <c r="T21" i="1" s="1"/>
  <c r="T5" i="1"/>
  <c r="S28" i="1"/>
  <c r="T22" i="1"/>
  <c r="T28" i="1" s="1"/>
  <c r="T4" i="1"/>
  <c r="T15" i="1" s="1"/>
  <c r="T19" i="1" s="1"/>
  <c r="T38" i="1" l="1"/>
  <c r="U4" i="1"/>
  <c r="K18" i="18"/>
  <c r="J11" i="18"/>
  <c r="K3" i="18" s="1"/>
  <c r="T39" i="1"/>
  <c r="K19" i="18"/>
  <c r="K15" i="18"/>
  <c r="K16" i="18"/>
  <c r="K14" i="18"/>
  <c r="S15" i="1"/>
  <c r="S19" i="1" s="1"/>
  <c r="K10" i="18" l="1"/>
  <c r="K2" i="18"/>
  <c r="K9" i="18"/>
  <c r="K8" i="18"/>
  <c r="K6" i="18"/>
  <c r="K5" i="18"/>
  <c r="K7" i="18"/>
  <c r="K4" i="18"/>
  <c r="K20" i="18"/>
  <c r="T40" i="1"/>
  <c r="K11" i="18" l="1"/>
</calcChain>
</file>

<file path=xl/comments1.xml><?xml version="1.0" encoding="utf-8"?>
<comments xmlns="http://schemas.openxmlformats.org/spreadsheetml/2006/main">
  <authors>
    <author>Chris Hellström</author>
    <author>www.statistikdatabasen.scb.se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10.xml><?xml version="1.0" encoding="utf-8"?>
<comments xmlns="http://schemas.openxmlformats.org/spreadsheetml/2006/main">
  <authors>
    <author>Chris Hellström</author>
    <author>www.statistikdatabasen.scb.se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11.xml><?xml version="1.0" encoding="utf-8"?>
<comments xmlns="http://schemas.openxmlformats.org/spreadsheetml/2006/main">
  <authors>
    <author>Chris Hellström</author>
    <author>www.statistikdatabasen.scb.se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12.xml><?xml version="1.0" encoding="utf-8"?>
<comments xmlns="http://schemas.openxmlformats.org/spreadsheetml/2006/main">
  <authors>
    <author>Chris Hellström</author>
    <author>www.statistikdatabasen.scb.se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13.xml><?xml version="1.0" encoding="utf-8"?>
<comments xmlns="http://schemas.openxmlformats.org/spreadsheetml/2006/main">
  <authors>
    <author>Chris Hellström</author>
    <author>www.statistikdatabasen.scb.se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14.xml><?xml version="1.0" encoding="utf-8"?>
<comments xmlns="http://schemas.openxmlformats.org/spreadsheetml/2006/main">
  <authors>
    <author>Chris Hellström</author>
    <author>www.statistikdatabasen.scb.se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15.xml><?xml version="1.0" encoding="utf-8"?>
<comments xmlns="http://schemas.openxmlformats.org/spreadsheetml/2006/main">
  <authors>
    <author>Chris Hellström</author>
    <author>www.statistikdatabasen.scb.se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16.xml><?xml version="1.0" encoding="utf-8"?>
<comments xmlns="http://schemas.openxmlformats.org/spreadsheetml/2006/main">
  <authors>
    <author>Chris Hellström</author>
    <author>www.statistikdatabasen.scb.se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2.xml><?xml version="1.0" encoding="utf-8"?>
<comments xmlns="http://schemas.openxmlformats.org/spreadsheetml/2006/main">
  <authors>
    <author>Chris Hellström</author>
    <author>www.statistikdatabasen.scb.se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3.xml><?xml version="1.0" encoding="utf-8"?>
<comments xmlns="http://schemas.openxmlformats.org/spreadsheetml/2006/main">
  <authors>
    <author>Chris Hellström</author>
    <author>www.statistikdatabasen.scb.se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4.xml><?xml version="1.0" encoding="utf-8"?>
<comments xmlns="http://schemas.openxmlformats.org/spreadsheetml/2006/main">
  <authors>
    <author>Chris Hellström</author>
    <author>www.statistikdatabasen.scb.se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5.xml><?xml version="1.0" encoding="utf-8"?>
<comments xmlns="http://schemas.openxmlformats.org/spreadsheetml/2006/main">
  <authors>
    <author>Chris Hellström</author>
    <author>www.statistikdatabasen.scb.se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6.xml><?xml version="1.0" encoding="utf-8"?>
<comments xmlns="http://schemas.openxmlformats.org/spreadsheetml/2006/main">
  <authors>
    <author>Chris Hellström</author>
    <author>www.statistikdatabasen.scb.se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7.xml><?xml version="1.0" encoding="utf-8"?>
<comments xmlns="http://schemas.openxmlformats.org/spreadsheetml/2006/main">
  <authors>
    <author>Chris Hellström</author>
    <author>www.statistikdatabasen.scb.se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8.xml><?xml version="1.0" encoding="utf-8"?>
<comments xmlns="http://schemas.openxmlformats.org/spreadsheetml/2006/main">
  <authors>
    <author>Chris Hellström</author>
    <author>www.statistikdatabasen.scb.se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comments9.xml><?xml version="1.0" encoding="utf-8"?>
<comments xmlns="http://schemas.openxmlformats.org/spreadsheetml/2006/main">
  <authors>
    <author>Chris Hellström</author>
    <author>www.statistikdatabasen.scb.se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Summa produktionssätt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Elproduktion resp Fjärrvärmeproduktion</t>
        </r>
      </text>
    </comment>
    <comment ref="B6" authorId="1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B7" authorId="1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KRE-handboken, s 15: Det är nettoproduktionen av el som redovisas i tabellen. Bolagens egenanvändning är alltså borträknad,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Chris Hellström:</t>
        </r>
        <r>
          <rPr>
            <sz val="9"/>
            <color indexed="81"/>
            <rFont val="Tahoma"/>
            <family val="2"/>
          </rPr>
          <t xml:space="preserve">
KREhandboken, s 15: </t>
        </r>
        <r>
          <rPr>
            <sz val="11"/>
            <color indexed="81"/>
            <rFont val="Tahoma"/>
            <family val="2"/>
          </rPr>
          <t>För ’Kraftvärmeverk + industriellt mottryck’ och för ’Övrig värmekraft’ har SCB räknat bort 3 procent, för vattenkraft har 0,8 procent räknats bort. Dessa borträkningar ska återinföras för att räkna ut kategorin ”omvandlingsförluster, egenanvändning i energisektorn och statistisk differens”. Med andra ord: nettoproduktion = produktion *(1-x%) där x är egenanvändningen.</t>
        </r>
      </text>
    </comment>
  </commentList>
</comments>
</file>

<file path=xl/sharedStrings.xml><?xml version="1.0" encoding="utf-8"?>
<sst xmlns="http://schemas.openxmlformats.org/spreadsheetml/2006/main" count="1672" uniqueCount="152">
  <si>
    <t>Icke förnybar</t>
  </si>
  <si>
    <t>Förnybar</t>
  </si>
  <si>
    <t>summa produktionssätt</t>
  </si>
  <si>
    <t>elproduktion/FJVproduktion</t>
  </si>
  <si>
    <t>Summa insatta bränslen till omvandling eller summa förbrukarkategori</t>
  </si>
  <si>
    <t>Lokal produktion av el/Fjv</t>
  </si>
  <si>
    <t>Omvandlingsförluster, egenanvändning i energisektorn och statistisk differens</t>
  </si>
  <si>
    <t>Fjärrvärmeproduktion</t>
  </si>
  <si>
    <t>kraftvärmeverk</t>
  </si>
  <si>
    <t>fristående värmeverk</t>
  </si>
  <si>
    <t>elpannor (1)</t>
  </si>
  <si>
    <t>värmepumpar (2)</t>
  </si>
  <si>
    <t>spillvärme</t>
  </si>
  <si>
    <t>rökgaskondens</t>
  </si>
  <si>
    <t>summa bränsletyp</t>
  </si>
  <si>
    <t>Fjärrkylaproduktion</t>
  </si>
  <si>
    <t>Elproduktion</t>
  </si>
  <si>
    <t>nettoproduktion</t>
  </si>
  <si>
    <t>bruttoproduktion</t>
  </si>
  <si>
    <t>Egenanvändning</t>
  </si>
  <si>
    <t xml:space="preserve">kraftvärmeverk </t>
  </si>
  <si>
    <t>industriellt mottryck</t>
  </si>
  <si>
    <t>övrig värmekraft (kärnkraft, kondenskraft o.dyl.)</t>
  </si>
  <si>
    <t>vattenkraft</t>
  </si>
  <si>
    <t>vindkraft</t>
  </si>
  <si>
    <t>Biogas</t>
  </si>
  <si>
    <t>Fjärrvärme</t>
  </si>
  <si>
    <t>El</t>
  </si>
  <si>
    <t>förluster fjv %</t>
  </si>
  <si>
    <t>Överföringsförluster</t>
  </si>
  <si>
    <t>Import - export</t>
  </si>
  <si>
    <t>Slutlig energianvändning</t>
  </si>
  <si>
    <t>fjärrvärme</t>
  </si>
  <si>
    <t>el</t>
  </si>
  <si>
    <t>summa förbrukarkategori</t>
  </si>
  <si>
    <t>Jord,skog,fiske</t>
  </si>
  <si>
    <t>Industri</t>
  </si>
  <si>
    <t>Offentlig verksamhet</t>
  </si>
  <si>
    <t>Transporter</t>
  </si>
  <si>
    <t>Övriga tjänster</t>
  </si>
  <si>
    <t>Småhus</t>
  </si>
  <si>
    <t>Flerbostadshus</t>
  </si>
  <si>
    <t>Fritidshus</t>
  </si>
  <si>
    <t>Summa bränsletyp</t>
  </si>
  <si>
    <t>Hushåll</t>
  </si>
  <si>
    <t>IN</t>
  </si>
  <si>
    <t>UT</t>
  </si>
  <si>
    <t>Andelar</t>
  </si>
  <si>
    <t>GWh</t>
  </si>
  <si>
    <t>%</t>
  </si>
  <si>
    <t>Trädbränslen</t>
  </si>
  <si>
    <t>Vind in</t>
  </si>
  <si>
    <t>Torv</t>
  </si>
  <si>
    <t>Avfall</t>
  </si>
  <si>
    <t>Vatten in</t>
  </si>
  <si>
    <t>Avlutar</t>
  </si>
  <si>
    <t>Gasol/naturgas</t>
  </si>
  <si>
    <t>Biooljor/biodrivmedel</t>
  </si>
  <si>
    <t>Oljeprodukter</t>
  </si>
  <si>
    <t>El in</t>
  </si>
  <si>
    <t>El ut</t>
  </si>
  <si>
    <t>varav kraftv</t>
  </si>
  <si>
    <t>Förluster</t>
  </si>
  <si>
    <t>varav ind mottryck</t>
  </si>
  <si>
    <t>jordbruk</t>
  </si>
  <si>
    <t>Fjärvärme</t>
  </si>
  <si>
    <t>vatten</t>
  </si>
  <si>
    <t>off verksamhet</t>
  </si>
  <si>
    <t>vind</t>
  </si>
  <si>
    <t>import</t>
  </si>
  <si>
    <t>övr tjänster</t>
  </si>
  <si>
    <t>Export</t>
  </si>
  <si>
    <t>trädbränslen in</t>
  </si>
  <si>
    <t>Fjärrvärmev</t>
  </si>
  <si>
    <t>Avfall in</t>
  </si>
  <si>
    <t>Avfall ut</t>
  </si>
  <si>
    <t>Gasol/naturgas in</t>
  </si>
  <si>
    <t>gasol ut</t>
  </si>
  <si>
    <t>Biogas in</t>
  </si>
  <si>
    <t>biogas ut</t>
  </si>
  <si>
    <t>Biooljor/-drivmedel</t>
  </si>
  <si>
    <t>Biooljor/-drivmedel ut</t>
  </si>
  <si>
    <t>Jordbruk</t>
  </si>
  <si>
    <t>oljeprodukter in</t>
  </si>
  <si>
    <t>oljeprodukter ut</t>
  </si>
  <si>
    <t>Spillvärme</t>
  </si>
  <si>
    <t>Antal anläggningar</t>
  </si>
  <si>
    <t>Rötkammarvolym</t>
  </si>
  <si>
    <t>Biogasproduktion</t>
  </si>
  <si>
    <t>Deponigasproduktion</t>
  </si>
  <si>
    <t>Biogasproduktion total</t>
  </si>
  <si>
    <t>Fordonsgas</t>
  </si>
  <si>
    <t>MWh</t>
  </si>
  <si>
    <t>biogas</t>
  </si>
  <si>
    <t>naturgas</t>
  </si>
  <si>
    <t>56% biogas</t>
  </si>
  <si>
    <t>summa exkl förluster</t>
  </si>
  <si>
    <t>Stenkol</t>
  </si>
  <si>
    <t>industri</t>
  </si>
  <si>
    <t>Flytande förnybar</t>
  </si>
  <si>
    <t>beckolja</t>
  </si>
  <si>
    <t>Dalarna</t>
  </si>
  <si>
    <t>Träd-bränslen</t>
  </si>
  <si>
    <t>Elprod i kommun/län</t>
  </si>
  <si>
    <t>Import el</t>
  </si>
  <si>
    <t>Koks</t>
  </si>
  <si>
    <t>summa tillförda bränslen</t>
  </si>
  <si>
    <t>spillv</t>
  </si>
  <si>
    <t>rökgaskond</t>
  </si>
  <si>
    <t>elpannor, värmepumpar</t>
  </si>
  <si>
    <t>summa tillförd energi</t>
  </si>
  <si>
    <t>export el</t>
  </si>
  <si>
    <t>summa använd i sektorer</t>
  </si>
  <si>
    <t>förluster:</t>
  </si>
  <si>
    <t>överföring el</t>
  </si>
  <si>
    <t>överföring fjv</t>
  </si>
  <si>
    <t>egenanv el</t>
  </si>
  <si>
    <t>omvandling värme kraftv</t>
  </si>
  <si>
    <t>omvandling värme fjv</t>
  </si>
  <si>
    <t>omvandling el kraftv</t>
  </si>
  <si>
    <t>omvandling el mottryck</t>
  </si>
  <si>
    <t>summa förluster</t>
  </si>
  <si>
    <t>summa använd+förluster+elexport</t>
  </si>
  <si>
    <t>Differens tillförd-använd inkl förluster</t>
  </si>
  <si>
    <t>Stnkol</t>
  </si>
  <si>
    <t>Förluster överföring</t>
  </si>
  <si>
    <t>El egenanv</t>
  </si>
  <si>
    <t>Trädbränslen ut</t>
  </si>
  <si>
    <t>Stenkol in</t>
  </si>
  <si>
    <t>Stenkol ut</t>
  </si>
  <si>
    <t>Fjärrvärme (exkl kraftvärme)</t>
  </si>
  <si>
    <t>Fjärrvärme ut</t>
  </si>
  <si>
    <t>Fjärrvärme fr bränslen</t>
  </si>
  <si>
    <t>Förluster omvandling</t>
  </si>
  <si>
    <t>elpannor</t>
  </si>
  <si>
    <t>biooljor</t>
  </si>
  <si>
    <t>värmepumpar</t>
  </si>
  <si>
    <t>Förluster (överföring)</t>
  </si>
  <si>
    <t>trädbränslen</t>
  </si>
  <si>
    <t>rökgaskondens fjv</t>
  </si>
  <si>
    <t>summa bränslen</t>
  </si>
  <si>
    <t>Kraftvärme</t>
  </si>
  <si>
    <t>Värme</t>
  </si>
  <si>
    <t>Rökgaskondens</t>
  </si>
  <si>
    <t>Biooljor</t>
  </si>
  <si>
    <t>värmeprod omv</t>
  </si>
  <si>
    <t>elprod omv</t>
  </si>
  <si>
    <t>Ind mottryck</t>
  </si>
  <si>
    <t>förluster elprod egenanv</t>
  </si>
  <si>
    <t>förluster elprod omvandling</t>
  </si>
  <si>
    <t>rökgaskondens kraftv</t>
  </si>
  <si>
    <t>egenanv mottryck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</si>
</sst>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-* #,##0\ _k_r_-;\-* #,##0\ _k_r_-;_-* &quot;-&quot;??\ _k_r_-;_-@_-"/>
    <numFmt numFmtId="165" formatCode="_-* #,##0.0\ _k_r_-;\-* #,##0.0\ _k_r_-;_-* &quot;-&quot;??\ _k_r_-;_-@_-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ahoma"/>
      <family val="2"/>
    </font>
    <font>
      <sz val="11"/>
      <color indexed="81"/>
      <name val="Tahoma"/>
      <family val="2"/>
    </font>
    <font>
      <u val="singleAccounting"/>
      <sz val="11"/>
      <color rgb="FFFF0000"/>
      <name val="Calibri"/>
      <family val="2"/>
    </font>
    <font>
      <sz val="11"/>
      <name val="Calibri"/>
      <family val="2"/>
    </font>
    <font>
      <u/>
      <sz val="11"/>
      <color rgb="FFFF0000"/>
      <name val="Calibri"/>
      <family val="2"/>
    </font>
    <font>
      <u val="singleAccounting"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Fill="1" applyProtection="1"/>
    <xf numFmtId="0" fontId="3" fillId="2" borderId="0" xfId="0" applyFont="1" applyFill="1" applyProtection="1"/>
    <xf numFmtId="0" fontId="3" fillId="3" borderId="0" xfId="0" applyFont="1" applyFill="1" applyProtection="1"/>
    <xf numFmtId="0" fontId="0" fillId="3" borderId="0" xfId="0" applyFill="1" applyProtection="1"/>
    <xf numFmtId="0" fontId="3" fillId="0" borderId="0" xfId="0" applyFont="1" applyFill="1" applyAlignment="1" applyProtection="1">
      <alignment wrapText="1"/>
    </xf>
    <xf numFmtId="0" fontId="3" fillId="0" borderId="0" xfId="0" applyFont="1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Protection="1"/>
    <xf numFmtId="0" fontId="3" fillId="2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wrapText="1"/>
    </xf>
    <xf numFmtId="0" fontId="4" fillId="0" borderId="3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5" fillId="4" borderId="4" xfId="0" applyFont="1" applyFill="1" applyBorder="1" applyProtection="1"/>
    <xf numFmtId="0" fontId="3" fillId="4" borderId="0" xfId="0" applyFont="1" applyFill="1" applyBorder="1" applyAlignment="1" applyProtection="1">
      <alignment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6" fillId="4" borderId="0" xfId="0" applyFont="1" applyFill="1" applyBorder="1" applyAlignment="1" applyProtection="1">
      <alignment wrapText="1"/>
    </xf>
    <xf numFmtId="0" fontId="3" fillId="0" borderId="4" xfId="0" applyFont="1" applyFill="1" applyBorder="1" applyProtection="1"/>
    <xf numFmtId="164" fontId="0" fillId="0" borderId="0" xfId="1" applyNumberFormat="1" applyFont="1" applyFill="1" applyBorder="1" applyProtection="1"/>
    <xf numFmtId="164" fontId="0" fillId="0" borderId="0" xfId="1" applyNumberFormat="1" applyFont="1" applyFill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0" fontId="5" fillId="0" borderId="4" xfId="0" applyFont="1" applyFill="1" applyBorder="1" applyAlignment="1" applyProtection="1">
      <alignment wrapText="1"/>
    </xf>
    <xf numFmtId="0" fontId="0" fillId="0" borderId="4" xfId="0" applyFill="1" applyBorder="1" applyProtection="1"/>
    <xf numFmtId="164" fontId="0" fillId="0" borderId="5" xfId="1" applyNumberFormat="1" applyFont="1" applyFill="1" applyBorder="1" applyProtection="1"/>
    <xf numFmtId="0" fontId="7" fillId="4" borderId="4" xfId="0" applyFont="1" applyFill="1" applyBorder="1" applyProtection="1"/>
    <xf numFmtId="0" fontId="3" fillId="4" borderId="0" xfId="0" applyFont="1" applyFill="1" applyProtection="1"/>
    <xf numFmtId="0" fontId="0" fillId="0" borderId="0" xfId="0" applyFill="1" applyAlignment="1" applyProtection="1">
      <alignment horizontal="right"/>
    </xf>
    <xf numFmtId="9" fontId="0" fillId="0" borderId="0" xfId="0" applyNumberFormat="1" applyFill="1" applyProtection="1"/>
    <xf numFmtId="164" fontId="0" fillId="0" borderId="0" xfId="0" applyNumberFormat="1" applyFill="1" applyProtection="1"/>
    <xf numFmtId="10" fontId="0" fillId="0" borderId="0" xfId="0" applyNumberFormat="1" applyFill="1" applyProtection="1"/>
    <xf numFmtId="1" fontId="0" fillId="0" borderId="0" xfId="0" applyNumberFormat="1" applyFill="1" applyProtection="1"/>
    <xf numFmtId="1" fontId="3" fillId="0" borderId="0" xfId="0" applyNumberFormat="1" applyFont="1" applyFill="1" applyBorder="1" applyProtection="1"/>
    <xf numFmtId="164" fontId="0" fillId="0" borderId="0" xfId="1" applyNumberFormat="1" applyFont="1" applyFill="1" applyProtection="1"/>
    <xf numFmtId="0" fontId="4" fillId="0" borderId="6" xfId="0" applyFont="1" applyFill="1" applyBorder="1" applyProtection="1"/>
    <xf numFmtId="164" fontId="0" fillId="0" borderId="7" xfId="1" applyNumberFormat="1" applyFont="1" applyFill="1" applyBorder="1" applyProtection="1"/>
    <xf numFmtId="164" fontId="0" fillId="0" borderId="8" xfId="1" applyNumberFormat="1" applyFont="1" applyFill="1" applyBorder="1" applyProtection="1"/>
    <xf numFmtId="0" fontId="0" fillId="0" borderId="2" xfId="0" applyFill="1" applyBorder="1" applyProtection="1"/>
    <xf numFmtId="0" fontId="4" fillId="0" borderId="4" xfId="0" applyFont="1" applyFill="1" applyBorder="1" applyProtection="1"/>
    <xf numFmtId="164" fontId="0" fillId="5" borderId="0" xfId="0" applyNumberFormat="1" applyFill="1" applyBorder="1" applyProtection="1"/>
    <xf numFmtId="0" fontId="5" fillId="0" borderId="4" xfId="0" applyFont="1" applyFill="1" applyBorder="1" applyProtection="1"/>
    <xf numFmtId="0" fontId="0" fillId="0" borderId="0" xfId="0" applyFill="1" applyBorder="1" applyProtection="1"/>
    <xf numFmtId="0" fontId="3" fillId="0" borderId="6" xfId="0" applyFont="1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0" xfId="0" applyNumberFormat="1" applyBorder="1"/>
    <xf numFmtId="0" fontId="0" fillId="0" borderId="0" xfId="0" applyBorder="1"/>
    <xf numFmtId="3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1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64" fontId="0" fillId="0" borderId="0" xfId="0" applyNumberFormat="1" applyBorder="1"/>
    <xf numFmtId="164" fontId="0" fillId="0" borderId="0" xfId="1" applyNumberFormat="1" applyFont="1" applyBorder="1"/>
    <xf numFmtId="164" fontId="0" fillId="0" borderId="7" xfId="1" applyNumberFormat="1" applyFont="1" applyBorder="1"/>
    <xf numFmtId="165" fontId="0" fillId="0" borderId="5" xfId="1" applyNumberFormat="1" applyFont="1" applyBorder="1"/>
    <xf numFmtId="164" fontId="17" fillId="0" borderId="5" xfId="2" applyNumberFormat="1" applyFont="1" applyBorder="1"/>
    <xf numFmtId="3" fontId="0" fillId="0" borderId="0" xfId="1" applyNumberFormat="1" applyFont="1" applyFill="1" applyBorder="1" applyProtection="1"/>
    <xf numFmtId="3" fontId="0" fillId="0" borderId="0" xfId="0" applyNumberFormat="1" applyFill="1" applyBorder="1" applyProtection="1"/>
    <xf numFmtId="3" fontId="0" fillId="0" borderId="5" xfId="0" applyNumberFormat="1" applyFill="1" applyBorder="1" applyProtection="1"/>
    <xf numFmtId="3" fontId="0" fillId="0" borderId="0" xfId="0" applyNumberFormat="1" applyFill="1" applyProtection="1"/>
    <xf numFmtId="3" fontId="0" fillId="0" borderId="7" xfId="0" applyNumberFormat="1" applyFill="1" applyBorder="1" applyProtection="1"/>
    <xf numFmtId="3" fontId="0" fillId="0" borderId="8" xfId="0" applyNumberFormat="1" applyFill="1" applyBorder="1" applyProtection="1"/>
    <xf numFmtId="3" fontId="0" fillId="0" borderId="0" xfId="1" applyNumberFormat="1" applyFont="1" applyFill="1" applyProtection="1"/>
    <xf numFmtId="3" fontId="13" fillId="5" borderId="0" xfId="1" applyNumberFormat="1" applyFont="1" applyFill="1" applyBorder="1" applyAlignment="1" applyProtection="1">
      <alignment horizontal="right"/>
    </xf>
    <xf numFmtId="3" fontId="0" fillId="5" borderId="0" xfId="1" applyNumberFormat="1" applyFont="1" applyFill="1" applyBorder="1" applyAlignment="1" applyProtection="1">
      <alignment horizontal="right"/>
    </xf>
    <xf numFmtId="3" fontId="0" fillId="0" borderId="5" xfId="1" applyNumberFormat="1" applyFont="1" applyFill="1" applyBorder="1" applyProtection="1"/>
    <xf numFmtId="3" fontId="14" fillId="5" borderId="0" xfId="1" applyNumberFormat="1" applyFont="1" applyFill="1" applyBorder="1" applyAlignment="1" applyProtection="1">
      <alignment horizontal="right"/>
    </xf>
    <xf numFmtId="3" fontId="12" fillId="5" borderId="0" xfId="1" applyNumberFormat="1" applyFont="1" applyFill="1" applyBorder="1" applyAlignment="1" applyProtection="1">
      <alignment horizontal="right"/>
    </xf>
    <xf numFmtId="3" fontId="15" fillId="5" borderId="0" xfId="1" applyNumberFormat="1" applyFont="1" applyFill="1" applyBorder="1" applyAlignment="1" applyProtection="1">
      <alignment horizontal="right"/>
    </xf>
    <xf numFmtId="3" fontId="0" fillId="0" borderId="0" xfId="1" applyNumberFormat="1" applyFont="1" applyFill="1" applyAlignment="1" applyProtection="1">
      <alignment horizontal="right"/>
    </xf>
    <xf numFmtId="3" fontId="0" fillId="0" borderId="0" xfId="1" applyNumberFormat="1" applyFont="1" applyFill="1" applyBorder="1" applyAlignment="1" applyProtection="1">
      <alignment horizontal="right"/>
    </xf>
    <xf numFmtId="3" fontId="0" fillId="0" borderId="0" xfId="1" applyNumberFormat="1" applyFont="1" applyFill="1" applyAlignment="1" applyProtection="1">
      <alignment horizontal="right" wrapText="1"/>
    </xf>
    <xf numFmtId="3" fontId="0" fillId="5" borderId="5" xfId="1" applyNumberFormat="1" applyFont="1" applyFill="1" applyBorder="1" applyAlignment="1" applyProtection="1">
      <alignment horizontal="right"/>
    </xf>
    <xf numFmtId="3" fontId="12" fillId="0" borderId="0" xfId="1" applyNumberFormat="1" applyFont="1" applyFill="1" applyAlignment="1" applyProtection="1">
      <alignment horizontal="right"/>
    </xf>
    <xf numFmtId="3" fontId="12" fillId="0" borderId="0" xfId="1" applyNumberFormat="1" applyFont="1" applyFill="1" applyBorder="1" applyAlignment="1" applyProtection="1">
      <alignment horizontal="right"/>
    </xf>
    <xf numFmtId="3" fontId="3" fillId="0" borderId="0" xfId="1" applyNumberFormat="1" applyFont="1" applyFill="1" applyBorder="1" applyAlignment="1" applyProtection="1">
      <alignment horizontal="right" wrapText="1"/>
    </xf>
    <xf numFmtId="3" fontId="0" fillId="0" borderId="0" xfId="1" applyNumberFormat="1" applyFont="1" applyFill="1" applyBorder="1" applyAlignment="1" applyProtection="1">
      <alignment horizontal="right" wrapText="1"/>
    </xf>
    <xf numFmtId="3" fontId="0" fillId="0" borderId="5" xfId="1" applyNumberFormat="1" applyFont="1" applyFill="1" applyBorder="1" applyAlignment="1" applyProtection="1">
      <alignment horizontal="right" wrapText="1"/>
    </xf>
    <xf numFmtId="3" fontId="0" fillId="0" borderId="5" xfId="1" applyNumberFormat="1" applyFont="1" applyFill="1" applyBorder="1" applyAlignment="1" applyProtection="1">
      <alignment horizontal="right"/>
    </xf>
    <xf numFmtId="3" fontId="0" fillId="4" borderId="0" xfId="1" applyNumberFormat="1" applyFont="1" applyFill="1" applyAlignment="1" applyProtection="1">
      <alignment horizontal="right"/>
    </xf>
    <xf numFmtId="3" fontId="3" fillId="4" borderId="0" xfId="1" applyNumberFormat="1" applyFont="1" applyFill="1" applyBorder="1" applyAlignment="1" applyProtection="1">
      <alignment horizontal="right"/>
    </xf>
    <xf numFmtId="3" fontId="2" fillId="4" borderId="0" xfId="1" applyNumberFormat="1" applyFont="1" applyFill="1" applyBorder="1" applyAlignment="1" applyProtection="1">
      <alignment horizontal="right"/>
    </xf>
    <xf numFmtId="3" fontId="0" fillId="4" borderId="5" xfId="1" applyNumberFormat="1" applyFont="1" applyFill="1" applyBorder="1" applyAlignment="1" applyProtection="1">
      <alignment horizontal="right"/>
    </xf>
    <xf numFmtId="3" fontId="3" fillId="5" borderId="0" xfId="1" applyNumberFormat="1" applyFont="1" applyFill="1" applyAlignment="1" applyProtection="1">
      <alignment horizontal="right"/>
    </xf>
    <xf numFmtId="3" fontId="0" fillId="5" borderId="0" xfId="1" applyNumberFormat="1" applyFont="1" applyFill="1" applyAlignment="1" applyProtection="1">
      <alignment horizontal="right"/>
    </xf>
    <xf numFmtId="3" fontId="1" fillId="5" borderId="0" xfId="1" applyNumberFormat="1" applyFont="1" applyFill="1" applyBorder="1" applyAlignment="1" applyProtection="1">
      <alignment horizontal="right"/>
    </xf>
    <xf numFmtId="3" fontId="0" fillId="0" borderId="7" xfId="1" applyNumberFormat="1" applyFont="1" applyFill="1" applyBorder="1" applyAlignment="1" applyProtection="1">
      <alignment horizontal="right"/>
    </xf>
    <xf numFmtId="3" fontId="0" fillId="0" borderId="8" xfId="1" applyNumberFormat="1" applyFont="1" applyFill="1" applyBorder="1" applyAlignment="1" applyProtection="1">
      <alignment horizontal="right"/>
    </xf>
    <xf numFmtId="3" fontId="0" fillId="0" borderId="2" xfId="1" applyNumberFormat="1" applyFont="1" applyFill="1" applyBorder="1" applyAlignment="1" applyProtection="1">
      <alignment horizontal="right"/>
    </xf>
    <xf numFmtId="3" fontId="2" fillId="4" borderId="2" xfId="1" applyNumberFormat="1" applyFont="1" applyFill="1" applyBorder="1" applyAlignment="1" applyProtection="1">
      <alignment horizontal="right"/>
    </xf>
    <xf numFmtId="3" fontId="2" fillId="4" borderId="3" xfId="1" applyNumberFormat="1" applyFont="1" applyFill="1" applyBorder="1" applyAlignment="1" applyProtection="1">
      <alignment horizontal="right"/>
    </xf>
    <xf numFmtId="3" fontId="0" fillId="5" borderId="7" xfId="1" applyNumberFormat="1" applyFont="1" applyFill="1" applyBorder="1" applyAlignment="1" applyProtection="1">
      <alignment horizontal="right"/>
    </xf>
    <xf numFmtId="3" fontId="3" fillId="0" borderId="2" xfId="1" applyNumberFormat="1" applyFont="1" applyFill="1" applyBorder="1" applyAlignment="1" applyProtection="1">
      <alignment horizontal="right"/>
    </xf>
    <xf numFmtId="3" fontId="0" fillId="0" borderId="3" xfId="1" applyNumberFormat="1" applyFont="1" applyFill="1" applyBorder="1" applyAlignment="1" applyProtection="1">
      <alignment horizontal="right"/>
    </xf>
    <xf numFmtId="3" fontId="3" fillId="2" borderId="2" xfId="0" applyNumberFormat="1" applyFont="1" applyFill="1" applyBorder="1" applyAlignment="1" applyProtection="1">
      <alignment horizontal="right" wrapText="1"/>
    </xf>
    <xf numFmtId="3" fontId="3" fillId="3" borderId="2" xfId="0" applyNumberFormat="1" applyFont="1" applyFill="1" applyBorder="1" applyAlignment="1" applyProtection="1">
      <alignment horizontal="right" wrapText="1"/>
    </xf>
    <xf numFmtId="3" fontId="3" fillId="0" borderId="0" xfId="1" applyNumberFormat="1" applyFont="1" applyFill="1" applyBorder="1" applyAlignment="1" applyProtection="1">
      <alignment horizontal="right"/>
    </xf>
    <xf numFmtId="3" fontId="3" fillId="0" borderId="5" xfId="1" applyNumberFormat="1" applyFont="1" applyFill="1" applyBorder="1" applyAlignment="1" applyProtection="1">
      <alignment horizontal="right"/>
    </xf>
    <xf numFmtId="3" fontId="14" fillId="0" borderId="0" xfId="1" applyNumberFormat="1" applyFont="1" applyFill="1" applyBorder="1" applyAlignment="1" applyProtection="1">
      <alignment horizontal="right"/>
    </xf>
    <xf numFmtId="3" fontId="14" fillId="5" borderId="5" xfId="1" applyNumberFormat="1" applyFont="1" applyFill="1" applyBorder="1" applyAlignment="1" applyProtection="1">
      <alignment horizontal="right"/>
    </xf>
    <xf numFmtId="3" fontId="3" fillId="0" borderId="0" xfId="1" applyNumberFormat="1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5" xfId="0" applyFill="1" applyBorder="1" applyAlignment="1" applyProtection="1">
      <alignment horizontal="right"/>
    </xf>
    <xf numFmtId="3" fontId="3" fillId="4" borderId="0" xfId="1" applyNumberFormat="1" applyFont="1" applyFill="1" applyBorder="1" applyAlignment="1" applyProtection="1">
      <alignment horizontal="right" wrapText="1"/>
    </xf>
    <xf numFmtId="3" fontId="0" fillId="0" borderId="0" xfId="0" applyNumberFormat="1" applyFill="1" applyBorder="1" applyAlignment="1" applyProtection="1">
      <alignment horizontal="right"/>
    </xf>
    <xf numFmtId="3" fontId="0" fillId="0" borderId="5" xfId="0" applyNumberFormat="1" applyFill="1" applyBorder="1" applyAlignment="1" applyProtection="1">
      <alignment horizontal="right"/>
    </xf>
    <xf numFmtId="3" fontId="0" fillId="0" borderId="0" xfId="0" applyNumberFormat="1" applyFill="1" applyAlignment="1" applyProtection="1">
      <alignment horizontal="right"/>
    </xf>
    <xf numFmtId="3" fontId="0" fillId="4" borderId="0" xfId="1" applyNumberFormat="1" applyFont="1" applyFill="1" applyAlignment="1" applyProtection="1">
      <alignment horizontal="right" wrapText="1"/>
    </xf>
    <xf numFmtId="3" fontId="13" fillId="0" borderId="0" xfId="1" applyNumberFormat="1" applyFont="1" applyFill="1" applyBorder="1" applyAlignment="1" applyProtection="1">
      <alignment horizontal="right"/>
    </xf>
    <xf numFmtId="3" fontId="12" fillId="5" borderId="5" xfId="1" applyNumberFormat="1" applyFont="1" applyFill="1" applyBorder="1" applyAlignment="1" applyProtection="1">
      <alignment horizontal="right"/>
    </xf>
    <xf numFmtId="164" fontId="0" fillId="0" borderId="0" xfId="1" applyNumberFormat="1" applyFont="1" applyFill="1" applyBorder="1" applyAlignment="1" applyProtection="1">
      <alignment horizontal="right"/>
    </xf>
    <xf numFmtId="164" fontId="0" fillId="0" borderId="5" xfId="1" applyNumberFormat="1" applyFont="1" applyFill="1" applyBorder="1" applyAlignment="1" applyProtection="1">
      <alignment horizontal="right"/>
    </xf>
    <xf numFmtId="164" fontId="0" fillId="0" borderId="0" xfId="1" applyNumberFormat="1" applyFont="1" applyFill="1" applyAlignment="1" applyProtection="1">
      <alignment horizontal="right"/>
    </xf>
    <xf numFmtId="3" fontId="15" fillId="0" borderId="0" xfId="1" applyNumberFormat="1" applyFont="1" applyFill="1" applyBorder="1" applyAlignment="1" applyProtection="1">
      <alignment horizontal="right"/>
    </xf>
    <xf numFmtId="3" fontId="0" fillId="5" borderId="8" xfId="0" applyNumberFormat="1" applyFill="1" applyBorder="1" applyAlignment="1" applyProtection="1">
      <alignment horizontal="right"/>
    </xf>
    <xf numFmtId="164" fontId="0" fillId="0" borderId="0" xfId="1" applyNumberFormat="1" applyFont="1" applyFill="1"/>
    <xf numFmtId="0" fontId="0" fillId="0" borderId="0" xfId="0" applyFill="1"/>
    <xf numFmtId="0" fontId="0" fillId="0" borderId="4" xfId="0" applyFill="1" applyBorder="1"/>
    <xf numFmtId="3" fontId="0" fillId="0" borderId="0" xfId="0" applyNumberFormat="1" applyFill="1"/>
    <xf numFmtId="0" fontId="0" fillId="0" borderId="1" xfId="0" applyFill="1" applyBorder="1"/>
    <xf numFmtId="0" fontId="0" fillId="0" borderId="2" xfId="0" applyFill="1" applyBorder="1"/>
    <xf numFmtId="164" fontId="0" fillId="0" borderId="2" xfId="1" applyNumberFormat="1" applyFont="1" applyFill="1" applyBorder="1"/>
    <xf numFmtId="164" fontId="0" fillId="0" borderId="0" xfId="1" applyNumberFormat="1" applyFont="1" applyFill="1" applyBorder="1"/>
    <xf numFmtId="3" fontId="0" fillId="0" borderId="7" xfId="0" applyNumberFormat="1" applyBorder="1"/>
    <xf numFmtId="164" fontId="0" fillId="0" borderId="7" xfId="1" applyNumberFormat="1" applyFont="1" applyFill="1" applyBorder="1"/>
    <xf numFmtId="3" fontId="0" fillId="0" borderId="0" xfId="0" applyNumberFormat="1"/>
    <xf numFmtId="164" fontId="0" fillId="0" borderId="5" xfId="0" applyNumberFormat="1" applyBorder="1"/>
    <xf numFmtId="164" fontId="0" fillId="6" borderId="0" xfId="0" applyNumberFormat="1" applyFill="1"/>
    <xf numFmtId="0" fontId="0" fillId="6" borderId="0" xfId="0" applyFill="1"/>
    <xf numFmtId="9" fontId="0" fillId="0" borderId="0" xfId="3" applyFont="1" applyFill="1" applyAlignment="1" applyProtection="1">
      <alignment horizontal="right" wrapText="1"/>
    </xf>
    <xf numFmtId="166" fontId="0" fillId="0" borderId="0" xfId="1" applyNumberFormat="1" applyFont="1" applyFill="1" applyAlignment="1" applyProtection="1">
      <alignment horizontal="right"/>
    </xf>
    <xf numFmtId="166" fontId="0" fillId="0" borderId="0" xfId="1" applyNumberFormat="1" applyFont="1" applyFill="1" applyBorder="1" applyAlignment="1" applyProtection="1">
      <alignment horizontal="right"/>
    </xf>
    <xf numFmtId="166" fontId="12" fillId="0" borderId="0" xfId="1" applyNumberFormat="1" applyFont="1" applyFill="1" applyBorder="1" applyAlignment="1" applyProtection="1">
      <alignment horizontal="right"/>
    </xf>
    <xf numFmtId="3" fontId="0" fillId="0" borderId="0" xfId="0" applyNumberFormat="1" applyFill="1" applyAlignment="1" applyProtection="1">
      <alignment horizontal="right" wrapText="1"/>
    </xf>
    <xf numFmtId="3" fontId="3" fillId="0" borderId="0" xfId="0" applyNumberFormat="1" applyFont="1" applyFill="1" applyBorder="1" applyAlignment="1" applyProtection="1">
      <alignment horizontal="right" wrapText="1"/>
    </xf>
    <xf numFmtId="3" fontId="0" fillId="0" borderId="5" xfId="0" applyNumberFormat="1" applyFill="1" applyBorder="1" applyAlignment="1" applyProtection="1">
      <alignment horizontal="right" wrapText="1"/>
    </xf>
    <xf numFmtId="3" fontId="0" fillId="4" borderId="0" xfId="0" applyNumberFormat="1" applyFill="1" applyAlignment="1" applyProtection="1">
      <alignment horizontal="right"/>
    </xf>
    <xf numFmtId="3" fontId="2" fillId="4" borderId="0" xfId="0" applyNumberFormat="1" applyFont="1" applyFill="1" applyBorder="1" applyAlignment="1" applyProtection="1">
      <alignment horizontal="right"/>
    </xf>
    <xf numFmtId="3" fontId="0" fillId="4" borderId="5" xfId="0" applyNumberFormat="1" applyFill="1" applyBorder="1" applyAlignment="1" applyProtection="1">
      <alignment horizontal="right"/>
    </xf>
    <xf numFmtId="3" fontId="16" fillId="5" borderId="0" xfId="1" applyNumberFormat="1" applyFont="1" applyFill="1" applyAlignment="1" applyProtection="1">
      <alignment horizontal="right"/>
    </xf>
    <xf numFmtId="3" fontId="0" fillId="5" borderId="0" xfId="0" applyNumberFormat="1" applyFill="1" applyAlignment="1" applyProtection="1">
      <alignment horizontal="right"/>
    </xf>
    <xf numFmtId="3" fontId="0" fillId="0" borderId="7" xfId="0" applyNumberFormat="1" applyFill="1" applyBorder="1" applyAlignment="1" applyProtection="1">
      <alignment horizontal="right"/>
    </xf>
    <xf numFmtId="3" fontId="0" fillId="0" borderId="8" xfId="0" applyNumberFormat="1" applyFill="1" applyBorder="1" applyAlignment="1" applyProtection="1">
      <alignment horizontal="right"/>
    </xf>
    <xf numFmtId="164" fontId="0" fillId="0" borderId="2" xfId="1" applyNumberFormat="1" applyFont="1" applyBorder="1"/>
    <xf numFmtId="164" fontId="0" fillId="0" borderId="3" xfId="0" applyNumberFormat="1" applyBorder="1"/>
    <xf numFmtId="164" fontId="0" fillId="0" borderId="8" xfId="0" applyNumberFormat="1" applyBorder="1"/>
    <xf numFmtId="3" fontId="3" fillId="2" borderId="2" xfId="0" applyNumberFormat="1" applyFont="1" applyFill="1" applyBorder="1" applyAlignment="1" applyProtection="1">
      <alignment horizontal="left" wrapText="1"/>
    </xf>
    <xf numFmtId="3" fontId="3" fillId="3" borderId="2" xfId="0" applyNumberFormat="1" applyFont="1" applyFill="1" applyBorder="1" applyAlignment="1" applyProtection="1">
      <alignment horizontal="left" wrapText="1"/>
    </xf>
    <xf numFmtId="3" fontId="3" fillId="0" borderId="0" xfId="1" applyNumberFormat="1" applyFont="1" applyFill="1" applyBorder="1" applyAlignment="1" applyProtection="1">
      <alignment horizontal="left"/>
    </xf>
    <xf numFmtId="3" fontId="3" fillId="0" borderId="5" xfId="1" applyNumberFormat="1" applyFont="1" applyFill="1" applyBorder="1" applyAlignment="1" applyProtection="1">
      <alignment horizontal="left"/>
    </xf>
    <xf numFmtId="165" fontId="0" fillId="0" borderId="0" xfId="1" applyNumberFormat="1" applyFont="1"/>
    <xf numFmtId="164" fontId="0" fillId="0" borderId="3" xfId="1" applyNumberFormat="1" applyFont="1" applyBorder="1"/>
    <xf numFmtId="164" fontId="0" fillId="0" borderId="8" xfId="1" applyNumberFormat="1" applyFont="1" applyBorder="1"/>
    <xf numFmtId="164" fontId="0" fillId="0" borderId="2" xfId="0" applyNumberFormat="1" applyBorder="1"/>
    <xf numFmtId="0" fontId="0" fillId="0" borderId="7" xfId="0" applyBorder="1"/>
    <xf numFmtId="3" fontId="18" fillId="0" borderId="0" xfId="1" applyNumberFormat="1" applyFont="1" applyFill="1" applyAlignment="1" applyProtection="1">
      <alignment horizontal="right"/>
    </xf>
    <xf numFmtId="0" fontId="0" fillId="5" borderId="5" xfId="0" applyFill="1" applyBorder="1"/>
    <xf numFmtId="0" fontId="0" fillId="5" borderId="0" xfId="0" applyFill="1"/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0" fontId="3" fillId="0" borderId="0" xfId="0" applyFont="1" applyFill="1" applyBorder="1" applyProtection="1"/>
    <xf numFmtId="164" fontId="0" fillId="0" borderId="0" xfId="0" applyNumberFormat="1" applyFill="1"/>
    <xf numFmtId="3" fontId="13" fillId="0" borderId="0" xfId="1" applyNumberFormat="1" applyFont="1" applyFill="1" applyAlignment="1" applyProtection="1">
      <alignment horizontal="right"/>
    </xf>
    <xf numFmtId="3" fontId="19" fillId="0" borderId="0" xfId="1" applyNumberFormat="1" applyFont="1" applyFill="1" applyBorder="1" applyAlignment="1" applyProtection="1">
      <alignment horizontal="right"/>
    </xf>
    <xf numFmtId="3" fontId="18" fillId="0" borderId="0" xfId="1" applyNumberFormat="1" applyFont="1" applyFill="1" applyBorder="1" applyAlignment="1" applyProtection="1">
      <alignment horizontal="right"/>
    </xf>
    <xf numFmtId="3" fontId="18" fillId="5" borderId="0" xfId="1" applyNumberFormat="1" applyFont="1" applyFill="1" applyBorder="1" applyAlignment="1" applyProtection="1">
      <alignment horizontal="right"/>
    </xf>
    <xf numFmtId="3" fontId="18" fillId="5" borderId="5" xfId="1" applyNumberFormat="1" applyFont="1" applyFill="1" applyBorder="1" applyAlignment="1" applyProtection="1">
      <alignment horizontal="right"/>
    </xf>
    <xf numFmtId="166" fontId="18" fillId="0" borderId="0" xfId="1" applyNumberFormat="1" applyFont="1" applyFill="1" applyBorder="1" applyAlignment="1" applyProtection="1">
      <alignment horizontal="right"/>
    </xf>
  </cellXfs>
  <cellStyles count="4">
    <cellStyle name="Normal" xfId="0" builtinId="0"/>
    <cellStyle name="Normal 5" xfId="2"/>
    <cellStyle name="Procent" xfId="3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2576/Documents/HIFAB/l&#228;nsstyrelsen%20energibalanser/Bearbetat%20statistik/V&#228;sternorrland/V&#228;sternorrlands%20l&#228;n%20tabell%206%202016-04-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ra%202016-04-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rsa%202016-4-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ästernorrlands län"/>
      <sheetName val="sammanställning input sankey"/>
      <sheetName val="fördelning bränslen"/>
      <sheetName val="Härnösand"/>
      <sheetName val="Kramfors"/>
      <sheetName val="Sollefteå"/>
      <sheetName val="Sundsvall"/>
      <sheetName val="Timrå"/>
      <sheetName val="Ånge"/>
      <sheetName val="Örnsköldsvik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oduktion 2013"/>
      <sheetName val="fjv-2013"/>
      <sheetName val="slutanv 2013"/>
      <sheetName val="tabell 6"/>
      <sheetName val="fjv-mora-2009-13"/>
      <sheetName val="slutanv 2009-14"/>
      <sheetName val="oljeleveranser"/>
      <sheetName val="tabell 2 o 3"/>
    </sheetNames>
    <sheetDataSet>
      <sheetData sheetId="0"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140668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117700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258368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</sheetData>
      <sheetData sheetId="1"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114009</v>
          </cell>
          <cell r="C19">
            <v>7278</v>
          </cell>
          <cell r="D19">
            <v>29516</v>
          </cell>
          <cell r="E19">
            <v>0</v>
          </cell>
          <cell r="F19">
            <v>0</v>
          </cell>
          <cell r="G19">
            <v>84042.999999999985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8991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123000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oduktion 2013"/>
      <sheetName val="FV 2013"/>
      <sheetName val="Slutanv 2013"/>
      <sheetName val="Tabell 6"/>
      <sheetName val="Slutanv 1990-2008"/>
      <sheetName val="slutanv 09-14"/>
      <sheetName val="Oljeanvändning"/>
      <sheetName val="FV 2009-2013"/>
      <sheetName val="Tabell 2+3"/>
    </sheetNames>
    <sheetDataSet>
      <sheetData sheetId="0"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77109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77109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57"/>
  <sheetViews>
    <sheetView zoomScale="60" zoomScaleNormal="60" workbookViewId="0">
      <selection activeCell="L20" sqref="L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5.140625" style="1" bestFit="1" customWidth="1"/>
    <col min="4" max="4" width="18.140625" style="1" bestFit="1" customWidth="1"/>
    <col min="5" max="5" width="13.7109375" style="1" bestFit="1" customWidth="1"/>
    <col min="6" max="6" width="15.140625" style="1" bestFit="1" customWidth="1"/>
    <col min="7" max="7" width="15.42578125" style="1" bestFit="1" customWidth="1"/>
    <col min="8" max="8" width="14.42578125" style="1" bestFit="1" customWidth="1"/>
    <col min="9" max="9" width="27.140625" style="1" customWidth="1"/>
    <col min="10" max="10" width="17.7109375" style="1" customWidth="1"/>
    <col min="11" max="11" width="20.42578125" style="1" customWidth="1"/>
    <col min="12" max="12" width="21.85546875" style="1" customWidth="1"/>
    <col min="13" max="13" width="25.5703125" style="1" customWidth="1"/>
    <col min="14" max="14" width="16.85546875" style="1" bestFit="1" customWidth="1"/>
    <col min="15" max="15" width="10.7109375" style="1" bestFit="1" customWidth="1"/>
    <col min="16" max="17" width="9.140625" style="1"/>
    <col min="18" max="18" width="38.7109375" style="1" customWidth="1"/>
    <col min="19" max="19" width="24.85546875" style="1" bestFit="1" customWidth="1"/>
    <col min="20" max="20" width="11.28515625" style="1" bestFit="1" customWidth="1"/>
    <col min="21" max="21" width="10.28515625" style="1" bestFit="1" customWidth="1"/>
    <col min="22" max="16384" width="9.140625" style="1"/>
  </cols>
  <sheetData>
    <row r="1" spans="2:22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4"/>
      <c r="I1" s="5" t="s">
        <v>2</v>
      </c>
      <c r="J1" s="5" t="s">
        <v>3</v>
      </c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1"/>
    </row>
    <row r="2" spans="2:22" s="7" customFormat="1" ht="60" x14ac:dyDescent="0.25">
      <c r="B2" s="8"/>
      <c r="C2" s="9" t="s">
        <v>58</v>
      </c>
      <c r="D2" s="9" t="s">
        <v>53</v>
      </c>
      <c r="E2" s="9" t="s">
        <v>56</v>
      </c>
      <c r="F2" s="10" t="s">
        <v>57</v>
      </c>
      <c r="G2" s="10" t="s">
        <v>102</v>
      </c>
      <c r="H2" s="10" t="s">
        <v>25</v>
      </c>
      <c r="I2" s="11" t="s">
        <v>4</v>
      </c>
      <c r="J2" s="11" t="s">
        <v>5</v>
      </c>
      <c r="L2" s="12" t="s">
        <v>6</v>
      </c>
      <c r="M2" s="13"/>
      <c r="N2" s="6"/>
      <c r="O2" s="6"/>
      <c r="P2" s="6"/>
      <c r="Q2" s="6"/>
      <c r="R2" s="6"/>
      <c r="S2" s="6"/>
      <c r="T2" s="6"/>
      <c r="U2" s="6"/>
      <c r="V2" s="1"/>
    </row>
    <row r="3" spans="2:22" s="7" customFormat="1" x14ac:dyDescent="0.25">
      <c r="B3" s="14" t="s">
        <v>7</v>
      </c>
      <c r="C3" s="15"/>
      <c r="D3" s="15"/>
      <c r="E3" s="15"/>
      <c r="F3" s="15"/>
      <c r="G3" s="15"/>
      <c r="H3" s="15"/>
      <c r="I3" s="16"/>
      <c r="J3" s="16"/>
      <c r="K3" s="17"/>
      <c r="L3" s="18"/>
      <c r="M3" s="1"/>
      <c r="T3" s="7" t="s">
        <v>48</v>
      </c>
      <c r="V3" s="1"/>
    </row>
    <row r="4" spans="2:22" s="7" customFormat="1" x14ac:dyDescent="0.25">
      <c r="B4" s="19" t="s">
        <v>8</v>
      </c>
      <c r="C4" s="77">
        <f>Avesta!C4+Borlänge!C4+Falun!C4+Gagnef!C4+Hedemora!C4+Leksand!C4+Ludvika!C4+'Malung-Sälen'!C4+Mora!C4+Orsa!C4+Rättvik!C4+Smedjebacken!C4+Säter!C4+Vansbro!C4+Älvdalen!C4</f>
        <v>3973.4170000000004</v>
      </c>
      <c r="D4" s="77">
        <f>Avesta!D4+Borlänge!D4+Falun!D4+Gagnef!D4+Hedemora!D4+Leksand!D4+Ludvika!D4+'Malung-Sälen'!D4+Mora!D4+Orsa!D4+Rättvik!D4+Smedjebacken!D4+Säter!D4+Vansbro!D4+Älvdalen!D4</f>
        <v>118306</v>
      </c>
      <c r="E4" s="77">
        <f>Avesta!E4+Borlänge!E4+Falun!E4+Gagnef!E4+Hedemora!E4+Leksand!E4+Ludvika!E4+'Malung-Sälen'!E4+Mora!E4+Orsa!E4+Rättvik!E4+Smedjebacken!E4+Säter!E4+Vansbro!E4+Älvdalen!E4</f>
        <v>0</v>
      </c>
      <c r="F4" s="77">
        <f>Avesta!F4+Borlänge!F4+Falun!F4+Gagnef!F4+Hedemora!F4+Leksand!F4+Ludvika!F4+'Malung-Sälen'!F4+Mora!F4+Orsa!F4+Rättvik!F4+Smedjebacken!F4+Säter!F4+Vansbro!F4+Älvdalen!F4</f>
        <v>0</v>
      </c>
      <c r="G4" s="77">
        <f>Avesta!G4+Borlänge!G4+Falun!G4+Gagnef!G4+Hedemora!G4+Leksand!G4+Ludvika!G4+'Malung-Sälen'!G4+Mora!G4+Orsa!G4+Rättvik!G4+Smedjebacken!G4+Säter!G4+Vansbro!G4+Älvdalen!G4</f>
        <v>419507.8</v>
      </c>
      <c r="H4" s="77">
        <f>Avesta!H4+Borlänge!H4+Falun!H4+Gagnef!H4+Hedemora!H4+Leksand!H4+Ludvika!H4+'Malung-Sälen'!H4+Mora!H4+Orsa!H4+Rättvik!H4+Smedjebacken!H4+Säter!H4+Vansbro!H4+Älvdalen!H4</f>
        <v>1843</v>
      </c>
      <c r="I4" s="77">
        <f>SUM(C4:H4)</f>
        <v>543630.21699999995</v>
      </c>
      <c r="J4" s="77">
        <f>Avesta!J4+Borlänge!J4+Falun!J4+Gagnef!J4+Hedemora!J4+Leksand!J4+Ludvika!J4+'Malung-Sälen'!J4+Mora!J4+Orsa!J4+Rättvik!J4+Smedjebacken!J4+Säter!J4+Vansbro!J4+Älvdalen!J4</f>
        <v>546474</v>
      </c>
      <c r="K4" s="137">
        <f>J4/(J4+J5)</f>
        <v>0.44012238642248441</v>
      </c>
      <c r="L4" s="80">
        <f>I4-J4</f>
        <v>-2843.783000000054</v>
      </c>
      <c r="M4" s="67">
        <f>SUM(C4:H4)</f>
        <v>543630.21699999995</v>
      </c>
      <c r="R4" s="49" t="s">
        <v>103</v>
      </c>
      <c r="S4" s="21">
        <f>K20</f>
        <v>3666381.5892151645</v>
      </c>
      <c r="T4" s="123">
        <f>S4/1000</f>
        <v>3666.3815892151647</v>
      </c>
      <c r="U4" s="170">
        <f>SUM(T4:T5)</f>
        <v>8177.9235572151647</v>
      </c>
      <c r="V4" s="1"/>
    </row>
    <row r="5" spans="2:22" s="7" customFormat="1" x14ac:dyDescent="0.25">
      <c r="B5" s="19" t="s">
        <v>9</v>
      </c>
      <c r="C5" s="77">
        <f>Avesta!C5+Borlänge!C5+Falun!C5+Gagnef!C5+Hedemora!C5+Leksand!C5+Ludvika!C5+'Malung-Sälen'!C5+Mora!C5+Orsa!C5+Rättvik!C5+Smedjebacken!C5+Säter!C5+Vansbro!C5+Älvdalen!C5</f>
        <v>47132</v>
      </c>
      <c r="D5" s="77">
        <f>Avesta!D5+Borlänge!D5+Falun!D5+Gagnef!D5+Hedemora!D5+Leksand!D5+Ludvika!D5+'Malung-Sälen'!D5+Mora!D5+Orsa!D5+Rättvik!D5+Smedjebacken!D5+Säter!D5+Vansbro!D5+Älvdalen!D5</f>
        <v>227400</v>
      </c>
      <c r="E5" s="77">
        <f>Avesta!E5+Borlänge!E5+Falun!E5+Gagnef!E5+Hedemora!E5+Leksand!E5+Ludvika!E5+'Malung-Sälen'!E5+Mora!E5+Orsa!E5+Rättvik!E5+Smedjebacken!E5+Säter!E5+Vansbro!E5+Älvdalen!E5</f>
        <v>4323</v>
      </c>
      <c r="F5" s="77">
        <f>Avesta!F5+Borlänge!F5+Falun!F5+Gagnef!F5+Hedemora!F5+Leksand!F5+Ludvika!F5+'Malung-Sälen'!F5+Mora!F5+Orsa!F5+Rättvik!F5+Smedjebacken!F5+Säter!F5+Vansbro!F5+Älvdalen!F5</f>
        <v>0</v>
      </c>
      <c r="G5" s="77">
        <f>Avesta!G5+Borlänge!G5+Falun!G5+Gagnef!G5+Hedemora!G5+Leksand!G5+Ludvika!G5+'Malung-Sälen'!G5+Mora!G5+Orsa!G5+Rättvik!G5+Smedjebacken!G5+Säter!G5+Vansbro!G5+Älvdalen!G5</f>
        <v>519034</v>
      </c>
      <c r="H5" s="77">
        <f>Avesta!H5+Borlänge!H5+Falun!H5+Gagnef!H5+Hedemora!H5+Leksand!H5+Ludvika!H5+'Malung-Sälen'!H5+Mora!H5+Orsa!H5+Rättvik!H5+Smedjebacken!H5+Säter!H5+Vansbro!H5+Älvdalen!H5</f>
        <v>1981.47</v>
      </c>
      <c r="I5" s="77">
        <f>SUM(C5:H5)</f>
        <v>799870.47</v>
      </c>
      <c r="J5" s="77">
        <f>Avesta!J5+Borlänge!J5+Falun!J5+Gagnef!J5+Hedemora!J5+Leksand!J5+Ludvika!J5+'Malung-Sälen'!J5+Mora!J5+Orsa!J5+Rättvik!J5+Smedjebacken!J5+Säter!J5+Vansbro!J5+Älvdalen!J5</f>
        <v>695167</v>
      </c>
      <c r="K5" s="137">
        <f>J5/(J4+J5)</f>
        <v>0.55987761357751553</v>
      </c>
      <c r="L5" s="80">
        <f>I5-J5</f>
        <v>104703.46999999997</v>
      </c>
      <c r="M5" s="67">
        <f t="shared" ref="M5:M10" si="0">SUM(C5:H5)</f>
        <v>799870.47</v>
      </c>
      <c r="R5" s="7" t="s">
        <v>104</v>
      </c>
      <c r="S5" s="21">
        <f>IF(J28&gt;0,0,J28)*-1</f>
        <v>4511541.9680000003</v>
      </c>
      <c r="T5" s="123">
        <f>S5/1000</f>
        <v>4511.5419680000005</v>
      </c>
      <c r="V5" s="1"/>
    </row>
    <row r="6" spans="2:22" s="7" customFormat="1" x14ac:dyDescent="0.25">
      <c r="B6" s="19" t="s">
        <v>10</v>
      </c>
      <c r="C6" s="77">
        <f>Avesta!C6+Borlänge!C6+Falun!C6+Gagnef!C6+Hedemora!C6+Leksand!C6+Ludvika!C6+'Malung-Sälen'!C6+Mora!C6+Orsa!C6+Rättvik!C6+Smedjebacken!C6+Säter!C6+Vansbro!C6+Älvdalen!C6</f>
        <v>0</v>
      </c>
      <c r="D6" s="77">
        <f>Avesta!D6+Borlänge!D6+Falun!D6+Gagnef!D6+Hedemora!D6+Leksand!D6+Ludvika!D6+'Malung-Sälen'!D6+Mora!D6+Orsa!D6+Rättvik!D6+Smedjebacken!D6+Säter!D6+Vansbro!D6+Älvdalen!D6</f>
        <v>0</v>
      </c>
      <c r="E6" s="77">
        <f>Avesta!E6+Borlänge!E6+Falun!E6+Gagnef!E6+Hedemora!E6+Leksand!E6+Ludvika!E6+'Malung-Sälen'!E6+Mora!E6+Orsa!E6+Rättvik!E6+Smedjebacken!E6+Säter!E6+Vansbro!E6+Älvdalen!E6</f>
        <v>0</v>
      </c>
      <c r="F6" s="77">
        <f>Avesta!F6+Borlänge!F6+Falun!F6+Gagnef!F6+Hedemora!F6+Leksand!F6+Ludvika!F6+'Malung-Sälen'!F6+Mora!F6+Orsa!F6+Rättvik!F6+Smedjebacken!F6+Säter!F6+Vansbro!F6+Älvdalen!F6</f>
        <v>0</v>
      </c>
      <c r="G6" s="77">
        <f>Avesta!G6+Borlänge!G6+Falun!G6+Gagnef!G6+Hedemora!G6+Leksand!G6+Ludvika!G6+'Malung-Sälen'!G6+Mora!G6+Orsa!G6+Rättvik!G6+Smedjebacken!G6+Säter!G6+Vansbro!G6+Älvdalen!G6</f>
        <v>0</v>
      </c>
      <c r="H6" s="77">
        <f>Avesta!H6+Borlänge!H6+Falun!H6+Gagnef!H6+Hedemora!H6+Leksand!H6+Ludvika!H6+'Malung-Sälen'!H6+Mora!H6+Orsa!H6+Rättvik!H6+Smedjebacken!H6+Säter!H6+Vansbro!H6+Älvdalen!H6</f>
        <v>0</v>
      </c>
      <c r="I6" s="77">
        <f t="shared" ref="I6:I9" si="1">SUM(C6:H6)</f>
        <v>0</v>
      </c>
      <c r="J6" s="77">
        <f>Avesta!J6+Borlänge!J6+Falun!J6+Gagnef!J6+Hedemora!J6+Leksand!J6+Ludvika!J6+'Malung-Sälen'!J6+Mora!J6+Orsa!J6+Rättvik!J6+Smedjebacken!J6+Säter!J6+Vansbro!J6+Älvdalen!J6</f>
        <v>4836</v>
      </c>
      <c r="K6" s="141"/>
      <c r="L6" s="80"/>
      <c r="M6" s="67">
        <f t="shared" si="0"/>
        <v>0</v>
      </c>
      <c r="R6" s="49" t="s">
        <v>50</v>
      </c>
      <c r="S6" s="123">
        <f>G10+G20+G40</f>
        <v>3060275.3666666662</v>
      </c>
      <c r="T6" s="123">
        <f>S6/1000</f>
        <v>3060.2753666666663</v>
      </c>
      <c r="U6" s="124"/>
      <c r="V6" s="1"/>
    </row>
    <row r="7" spans="2:22" s="7" customFormat="1" x14ac:dyDescent="0.25">
      <c r="B7" s="19" t="s">
        <v>11</v>
      </c>
      <c r="C7" s="77">
        <f>Avesta!C7+Borlänge!C7+Falun!C7+Gagnef!C7+Hedemora!C7+Leksand!C7+Ludvika!C7+'Malung-Sälen'!C7+Mora!C7+Orsa!C7+Rättvik!C7+Smedjebacken!C7+Säter!C7+Vansbro!C7+Älvdalen!C7</f>
        <v>0</v>
      </c>
      <c r="D7" s="77">
        <f>Avesta!D7+Borlänge!D7+Falun!D7+Gagnef!D7+Hedemora!D7+Leksand!D7+Ludvika!D7+'Malung-Sälen'!D7+Mora!D7+Orsa!D7+Rättvik!D7+Smedjebacken!D7+Säter!D7+Vansbro!D7+Älvdalen!D7</f>
        <v>0</v>
      </c>
      <c r="E7" s="77">
        <f>Avesta!E7+Borlänge!E7+Falun!E7+Gagnef!E7+Hedemora!E7+Leksand!E7+Ludvika!E7+'Malung-Sälen'!E7+Mora!E7+Orsa!E7+Rättvik!E7+Smedjebacken!E7+Säter!E7+Vansbro!E7+Älvdalen!E7</f>
        <v>0</v>
      </c>
      <c r="F7" s="77">
        <f>Avesta!F7+Borlänge!F7+Falun!F7+Gagnef!F7+Hedemora!F7+Leksand!F7+Ludvika!F7+'Malung-Sälen'!F7+Mora!F7+Orsa!F7+Rättvik!F7+Smedjebacken!F7+Säter!F7+Vansbro!F7+Älvdalen!F7</f>
        <v>0</v>
      </c>
      <c r="G7" s="77">
        <f>Avesta!G7+Borlänge!G7+Falun!G7+Gagnef!G7+Hedemora!G7+Leksand!G7+Ludvika!G7+'Malung-Sälen'!G7+Mora!G7+Orsa!G7+Rättvik!G7+Smedjebacken!G7+Säter!G7+Vansbro!G7+Älvdalen!G7</f>
        <v>0</v>
      </c>
      <c r="H7" s="77">
        <f>Avesta!H7+Borlänge!H7+Falun!H7+Gagnef!H7+Hedemora!H7+Leksand!H7+Ludvika!H7+'Malung-Sälen'!H7+Mora!H7+Orsa!H7+Rättvik!H7+Smedjebacken!H7+Säter!H7+Vansbro!H7+Älvdalen!H7</f>
        <v>0</v>
      </c>
      <c r="I7" s="77">
        <f t="shared" si="1"/>
        <v>0</v>
      </c>
      <c r="J7" s="77">
        <f>Avesta!J7+Borlänge!J7+Falun!J7+Gagnef!J7+Hedemora!J7+Leksand!J7+Ludvika!J7+'Malung-Sälen'!J7+Mora!J7+Orsa!J7+Rättvik!J7+Smedjebacken!J7+Säter!J7+Vansbro!J7+Älvdalen!J7</f>
        <v>10900</v>
      </c>
      <c r="K7" s="141"/>
      <c r="L7" s="80"/>
      <c r="M7" s="67">
        <f t="shared" si="0"/>
        <v>0</v>
      </c>
      <c r="R7" s="49" t="s">
        <v>53</v>
      </c>
      <c r="S7" s="123">
        <f>D10+D20</f>
        <v>431079</v>
      </c>
      <c r="T7" s="123">
        <f t="shared" ref="T7:T14" si="2">S7/1000</f>
        <v>431.07900000000001</v>
      </c>
      <c r="U7" s="124"/>
      <c r="V7" s="1"/>
    </row>
    <row r="8" spans="2:22" s="7" customFormat="1" x14ac:dyDescent="0.25">
      <c r="B8" s="19" t="s">
        <v>12</v>
      </c>
      <c r="C8" s="77">
        <f>Avesta!C8+Borlänge!C8+Falun!C8+Gagnef!C8+Hedemora!C8+Leksand!C8+Ludvika!C8+'Malung-Sälen'!C8+Mora!C8+Orsa!C8+Rättvik!C8+Smedjebacken!C8+Säter!C8+Vansbro!C8+Älvdalen!C8</f>
        <v>0</v>
      </c>
      <c r="D8" s="77">
        <f>Avesta!D8+Borlänge!D8+Falun!D8+Gagnef!D8+Hedemora!D8+Leksand!D8+Ludvika!D8+'Malung-Sälen'!D8+Mora!D8+Orsa!D8+Rättvik!D8+Smedjebacken!D8+Säter!D8+Vansbro!D8+Älvdalen!D8</f>
        <v>0</v>
      </c>
      <c r="E8" s="77">
        <f>Avesta!E8+Borlänge!E8+Falun!E8+Gagnef!E8+Hedemora!E8+Leksand!E8+Ludvika!E8+'Malung-Sälen'!E8+Mora!E8+Orsa!E8+Rättvik!E8+Smedjebacken!E8+Säter!E8+Vansbro!E8+Älvdalen!E8</f>
        <v>0</v>
      </c>
      <c r="F8" s="77">
        <f>Avesta!F8+Borlänge!F8+Falun!F8+Gagnef!F8+Hedemora!F8+Leksand!F8+Ludvika!F8+'Malung-Sälen'!F8+Mora!F8+Orsa!F8+Rättvik!F8+Smedjebacken!F8+Säter!F8+Vansbro!F8+Älvdalen!F8</f>
        <v>0</v>
      </c>
      <c r="G8" s="77">
        <f>Avesta!G8+Borlänge!G8+Falun!G8+Gagnef!G8+Hedemora!G8+Leksand!G8+Ludvika!G8+'Malung-Sälen'!G8+Mora!G8+Orsa!G8+Rättvik!G8+Smedjebacken!G8+Säter!G8+Vansbro!G8+Älvdalen!G8</f>
        <v>0</v>
      </c>
      <c r="H8" s="77">
        <f>Avesta!H8+Borlänge!H8+Falun!H8+Gagnef!H8+Hedemora!H8+Leksand!H8+Ludvika!H8+'Malung-Sälen'!H8+Mora!H8+Orsa!H8+Rättvik!H8+Smedjebacken!H8+Säter!H8+Vansbro!H8+Älvdalen!H8</f>
        <v>0</v>
      </c>
      <c r="I8" s="77">
        <f t="shared" si="1"/>
        <v>0</v>
      </c>
      <c r="J8" s="77">
        <f>Avesta!J8+Borlänge!J8+Falun!J8+Gagnef!J8+Hedemora!J8+Leksand!J8+Ludvika!J8+'Malung-Sälen'!J8+Mora!J8+Orsa!J8+Rättvik!J8+Smedjebacken!J8+Säter!J8+Vansbro!J8+Älvdalen!J8</f>
        <v>345258</v>
      </c>
      <c r="K8" s="141"/>
      <c r="L8" s="80"/>
      <c r="M8" s="67">
        <f t="shared" si="0"/>
        <v>0</v>
      </c>
      <c r="S8" s="123"/>
      <c r="T8" s="123">
        <f t="shared" si="2"/>
        <v>0</v>
      </c>
      <c r="U8" s="124"/>
      <c r="V8" s="1"/>
    </row>
    <row r="9" spans="2:22" s="7" customFormat="1" x14ac:dyDescent="0.25">
      <c r="B9" s="19" t="s">
        <v>13</v>
      </c>
      <c r="C9" s="77">
        <f>Avesta!C9+Borlänge!C9+Falun!C9+Gagnef!C9+Hedemora!C9+Leksand!C9+Ludvika!C9+'Malung-Sälen'!C9+Mora!C9+Orsa!C9+Rättvik!C9+Smedjebacken!C9+Säter!C9+Vansbro!C9+Älvdalen!C9</f>
        <v>0</v>
      </c>
      <c r="D9" s="77">
        <f>Avesta!D9+Borlänge!D9+Falun!D9+Gagnef!D9+Hedemora!D9+Leksand!D9+Ludvika!D9+'Malung-Sälen'!D9+Mora!D9+Orsa!D9+Rättvik!D9+Smedjebacken!D9+Säter!D9+Vansbro!D9+Älvdalen!D9</f>
        <v>0</v>
      </c>
      <c r="E9" s="77">
        <f>Avesta!E9+Borlänge!E9+Falun!E9+Gagnef!E9+Hedemora!E9+Leksand!E9+Ludvika!E9+'Malung-Sälen'!E9+Mora!E9+Orsa!E9+Rättvik!E9+Smedjebacken!E9+Säter!E9+Vansbro!E9+Älvdalen!E9</f>
        <v>0</v>
      </c>
      <c r="F9" s="77">
        <f>Avesta!F9+Borlänge!F9+Falun!F9+Gagnef!F9+Hedemora!F9+Leksand!F9+Ludvika!F9+'Malung-Sälen'!F9+Mora!F9+Orsa!F9+Rättvik!F9+Smedjebacken!F9+Säter!F9+Vansbro!F9+Älvdalen!F9</f>
        <v>0</v>
      </c>
      <c r="G9" s="77">
        <f>Avesta!G9+Borlänge!G9+Falun!G9+Gagnef!G9+Hedemora!G9+Leksand!G9+Ludvika!G9+'Malung-Sälen'!G9+Mora!G9+Orsa!G9+Rättvik!G9+Smedjebacken!G9+Säter!G9+Vansbro!G9+Älvdalen!G9</f>
        <v>0</v>
      </c>
      <c r="H9" s="77">
        <f>Avesta!H9+Borlänge!H9+Falun!H9+Gagnef!H9+Hedemora!H9+Leksand!H9+Ludvika!H9+'Malung-Sälen'!H9+Mora!H9+Orsa!H9+Rättvik!H9+Smedjebacken!H9+Säter!H9+Vansbro!H9+Älvdalen!H9</f>
        <v>0</v>
      </c>
      <c r="I9" s="77">
        <f t="shared" si="1"/>
        <v>0</v>
      </c>
      <c r="J9" s="77">
        <f>Avesta!J9+Borlänge!J9+Falun!J9+Gagnef!J9+Hedemora!J9+Leksand!J9+Ludvika!J9+'Malung-Sälen'!J9+Mora!J9+Orsa!J9+Rättvik!J9+Smedjebacken!J9+Säter!J9+Vansbro!J9+Älvdalen!J9</f>
        <v>160971</v>
      </c>
      <c r="K9" s="141"/>
      <c r="L9" s="80"/>
      <c r="M9" s="67">
        <f t="shared" si="0"/>
        <v>0</v>
      </c>
      <c r="R9" s="125" t="s">
        <v>124</v>
      </c>
      <c r="S9" s="123">
        <f>D40</f>
        <v>184314.5</v>
      </c>
      <c r="T9" s="123">
        <f t="shared" si="2"/>
        <v>184.31450000000001</v>
      </c>
      <c r="U9" s="124"/>
      <c r="V9" s="1"/>
    </row>
    <row r="10" spans="2:22" s="7" customFormat="1" x14ac:dyDescent="0.25">
      <c r="B10" s="19" t="s">
        <v>14</v>
      </c>
      <c r="C10" s="78">
        <f>SUM(C4:C9)</f>
        <v>51105.417000000001</v>
      </c>
      <c r="D10" s="78">
        <f t="shared" ref="D10:I10" si="3">SUM(D4:D9)</f>
        <v>345706</v>
      </c>
      <c r="E10" s="78">
        <f t="shared" si="3"/>
        <v>4323</v>
      </c>
      <c r="F10" s="78">
        <f t="shared" si="3"/>
        <v>0</v>
      </c>
      <c r="G10" s="78">
        <f t="shared" si="3"/>
        <v>938541.8</v>
      </c>
      <c r="H10" s="78">
        <f t="shared" si="3"/>
        <v>3824.4700000000003</v>
      </c>
      <c r="I10" s="78">
        <f t="shared" si="3"/>
        <v>1343500.6869999999</v>
      </c>
      <c r="J10" s="78">
        <f t="shared" ref="J10" si="4">SUM(J4:J9)</f>
        <v>1763606</v>
      </c>
      <c r="K10" s="141"/>
      <c r="L10" s="80">
        <f>SUM(L4:L9)</f>
        <v>101859.68699999992</v>
      </c>
      <c r="M10" s="67">
        <f t="shared" si="0"/>
        <v>1343500.6870000002</v>
      </c>
      <c r="R10" s="49" t="s">
        <v>55</v>
      </c>
      <c r="S10" s="123"/>
      <c r="T10" s="123">
        <f t="shared" si="2"/>
        <v>0</v>
      </c>
      <c r="U10" s="124"/>
      <c r="V10" s="1"/>
    </row>
    <row r="11" spans="2:22" s="7" customFormat="1" x14ac:dyDescent="0.25">
      <c r="B11" s="22"/>
      <c r="C11" s="142"/>
      <c r="D11" s="142"/>
      <c r="E11" s="142"/>
      <c r="F11" s="142"/>
      <c r="G11" s="142"/>
      <c r="H11" s="142"/>
      <c r="I11" s="83"/>
      <c r="J11" s="83"/>
      <c r="K11" s="84"/>
      <c r="L11" s="143"/>
      <c r="M11" s="1"/>
      <c r="P11" s="6"/>
      <c r="Q11" s="6"/>
      <c r="R11" s="49" t="s">
        <v>56</v>
      </c>
      <c r="S11" s="123">
        <f>E10+E20+E40</f>
        <v>937123.02777777775</v>
      </c>
      <c r="T11" s="123">
        <f t="shared" si="2"/>
        <v>937.12302777777779</v>
      </c>
      <c r="U11" s="124"/>
      <c r="V11" s="1"/>
    </row>
    <row r="12" spans="2:22" s="7" customFormat="1" x14ac:dyDescent="0.25">
      <c r="B12" s="23" t="s">
        <v>15</v>
      </c>
      <c r="C12" s="142"/>
      <c r="D12" s="142"/>
      <c r="E12" s="142"/>
      <c r="F12" s="142"/>
      <c r="G12" s="142"/>
      <c r="H12" s="142"/>
      <c r="I12" s="141"/>
      <c r="J12" s="141">
        <f>Avesta!J12+Borlänge!J12+Falun!J12+Gagnef!J12+Hedemora!J12+Leksand!J12+Ludvika!J12+'Malung-Sälen'!J12+Mora!J12+Orsa!J12+Rättvik!J12+Smedjebacken!J12+Säter!J12+Vansbro!K12+Älvdalen!J12</f>
        <v>2995</v>
      </c>
      <c r="K12" s="84"/>
      <c r="L12" s="143"/>
      <c r="M12" s="1"/>
      <c r="N12"/>
      <c r="O12"/>
      <c r="P12" s="6"/>
      <c r="Q12" s="6"/>
      <c r="R12" s="49" t="s">
        <v>25</v>
      </c>
      <c r="S12" s="123">
        <f>H10+H20+H40</f>
        <v>20724.47</v>
      </c>
      <c r="T12" s="123">
        <f t="shared" si="2"/>
        <v>20.72447</v>
      </c>
      <c r="U12" s="124"/>
      <c r="V12" s="1"/>
    </row>
    <row r="13" spans="2:22" x14ac:dyDescent="0.25">
      <c r="B13" s="24"/>
      <c r="C13" s="112"/>
      <c r="D13" s="112"/>
      <c r="E13" s="112"/>
      <c r="F13" s="112"/>
      <c r="G13" s="112"/>
      <c r="H13" s="112"/>
      <c r="I13" s="112"/>
      <c r="J13" s="112"/>
      <c r="K13" s="112"/>
      <c r="L13" s="113"/>
      <c r="M13" s="6"/>
      <c r="N13"/>
      <c r="O13"/>
      <c r="R13" s="49" t="s">
        <v>57</v>
      </c>
      <c r="S13" s="123">
        <f>F10+F20+F40</f>
        <v>282088</v>
      </c>
      <c r="T13" s="123">
        <f t="shared" si="2"/>
        <v>282.08800000000002</v>
      </c>
      <c r="U13" s="124"/>
    </row>
    <row r="14" spans="2:22" ht="18.75" x14ac:dyDescent="0.3">
      <c r="B14" s="26" t="s">
        <v>16</v>
      </c>
      <c r="C14" s="144"/>
      <c r="D14" s="144"/>
      <c r="E14" s="144"/>
      <c r="F14" s="144"/>
      <c r="G14" s="144"/>
      <c r="H14" s="144"/>
      <c r="I14" s="144"/>
      <c r="J14" s="88" t="s">
        <v>17</v>
      </c>
      <c r="K14" s="145" t="s">
        <v>18</v>
      </c>
      <c r="L14" s="146"/>
      <c r="M14" s="27" t="s">
        <v>19</v>
      </c>
      <c r="N14"/>
      <c r="O14"/>
      <c r="R14" s="49" t="s">
        <v>58</v>
      </c>
      <c r="S14" s="123">
        <f>C10+C20+C40</f>
        <v>3913813.5861111116</v>
      </c>
      <c r="T14" s="123">
        <f t="shared" si="2"/>
        <v>3913.8135861111114</v>
      </c>
      <c r="U14" s="124"/>
    </row>
    <row r="15" spans="2:22" x14ac:dyDescent="0.25">
      <c r="B15" s="19" t="s">
        <v>20</v>
      </c>
      <c r="C15" s="78">
        <f>Avesta!C15+Borlänge!C15+Falun!C15+Gagnef!C15+Hedemora!C15+Leksand!C15+Ludvika!C15+'Malung-Sälen'!C15+Mora!C15+Orsa!C15+Rättvik!C15+Smedjebacken!C15+Säter!C15+Vansbro!C15+Älvdalen!C15</f>
        <v>730.74099999999999</v>
      </c>
      <c r="D15" s="78">
        <f>Avesta!D15+Borlänge!D15+Falun!D15+Gagnef!D15+Hedemora!D15+Leksand!D15+Ludvika!D15+'Malung-Sälen'!D15+Mora!D15+Orsa!D15+Rättvik!D15+Smedjebacken!D15+Säter!D15+Vansbro!D15+Älvdalen!D15</f>
        <v>85373</v>
      </c>
      <c r="E15" s="78">
        <f>Avesta!E15+Borlänge!E15+Falun!E15+Gagnef!E15+Hedemora!E15+Leksand!E15+Ludvika!E15+'Malung-Sälen'!E15+Mora!E15+Orsa!E15+Rättvik!E15+Smedjebacken!E15+Säter!E15+Vansbro!E15+Älvdalen!E15</f>
        <v>0</v>
      </c>
      <c r="F15" s="78">
        <f>Avesta!F15+Borlänge!F15+Falun!F15+Gagnef!F15+Hedemora!F15+Leksand!F15+Ludvika!F15+'Malung-Sälen'!F15+Mora!F15+Orsa!F15+Rättvik!F15+Smedjebacken!F15+Säter!F15+Vansbro!F15+Älvdalen!F15</f>
        <v>0</v>
      </c>
      <c r="G15" s="78">
        <f>Avesta!G15+Borlänge!G15+Falun!G15+Gagnef!G15+Hedemora!G15+Leksand!G15+Ludvika!G15+'Malung-Sälen'!G15+Mora!G15+Orsa!G15+Rättvik!G15+Smedjebacken!G15+Säter!G15+Vansbro!G15+Älvdalen!G15</f>
        <v>152839.75</v>
      </c>
      <c r="H15" s="78">
        <f>Avesta!H15+Borlänge!H15+Falun!H15+Gagnef!H15+Hedemora!H15+Leksand!H15+Ludvika!H15+'Malung-Sälen'!H15+Mora!H15+Orsa!H15+Rättvik!H15+Smedjebacken!H15+Säter!H15+Vansbro!H15+Älvdalen!H15</f>
        <v>0</v>
      </c>
      <c r="I15" s="78">
        <f>SUM(C15:H15)</f>
        <v>238943.49099999998</v>
      </c>
      <c r="J15" s="78">
        <f>Avesta!J15+Borlänge!J15+Falun!J15+Gagnef!J15+Hedemora!J15+Leksand!J15+Ludvika!J15+'Malung-Sälen'!J15+Mora!J15+Orsa!J15+Rättvik!J15+Smedjebacken!J15+Säter!J15+Vansbro!J15+Älvdalen!J15</f>
        <v>127842</v>
      </c>
      <c r="K15" s="147">
        <f>J15/(1-M15)</f>
        <v>131795.87628865978</v>
      </c>
      <c r="L15" s="148">
        <f>K15-J15</f>
        <v>3953.8762886597833</v>
      </c>
      <c r="M15" s="29">
        <v>0.03</v>
      </c>
      <c r="N15"/>
      <c r="O15"/>
      <c r="R15" s="125" t="s">
        <v>106</v>
      </c>
      <c r="S15" s="123">
        <f>SUM(S4:S14)</f>
        <v>17007341.507770725</v>
      </c>
      <c r="T15" s="123">
        <f>SUM(T4:T14)</f>
        <v>17007.341507770718</v>
      </c>
      <c r="U15" s="124"/>
    </row>
    <row r="16" spans="2:22" x14ac:dyDescent="0.25">
      <c r="B16" s="19" t="s">
        <v>21</v>
      </c>
      <c r="C16" s="78">
        <f>Avesta!C16+Borlänge!C16+Falun!C16+Gagnef!C16+Hedemora!C16+Leksand!C16+Ludvika!C16+'Malung-Sälen'!C16+Mora!C16+Orsa!C16+Rättvik!C16+Smedjebacken!C16+Säter!C16+Vansbro!C16+Älvdalen!C16</f>
        <v>2421.817</v>
      </c>
      <c r="D16" s="78">
        <f>Avesta!D16+Borlänge!D16+Falun!D16+Gagnef!D16+Hedemora!D16+Leksand!D16+Ludvika!D16+'Malung-Sälen'!D16+Mora!D16+Orsa!D16+Rättvik!D16+Smedjebacken!D16+Säter!D16+Vansbro!D16+Älvdalen!D16</f>
        <v>0</v>
      </c>
      <c r="E16" s="78">
        <f>Avesta!E16+Borlänge!E16+Falun!E16+Gagnef!E16+Hedemora!E16+Leksand!E16+Ludvika!E16+'Malung-Sälen'!E16+Mora!E16+Orsa!E16+Rättvik!E16+Smedjebacken!E16+Säter!E16+Vansbro!E16+Älvdalen!E16</f>
        <v>0</v>
      </c>
      <c r="F16" s="78">
        <f>Avesta!F16+Borlänge!F16+Falun!F16+Gagnef!F16+Hedemora!F16+Leksand!F16+Ludvika!F16+'Malung-Sälen'!F16+Mora!F16+Orsa!F16+Rättvik!F16+Smedjebacken!F16+Säter!F16+Vansbro!F16+Älvdalen!F16</f>
        <v>0</v>
      </c>
      <c r="G16" s="78">
        <f>Avesta!G16+Borlänge!G16+Falun!G16+Gagnef!G16+Hedemora!G16+Leksand!G16+Ludvika!G16+'Malung-Sälen'!G16+Mora!G16+Orsa!G16+Rättvik!G16+Smedjebacken!G16+Säter!G16+Vansbro!G16+Älvdalen!G16</f>
        <v>115224</v>
      </c>
      <c r="H16" s="78">
        <f>Avesta!H16+Borlänge!H16+Falun!H16+Gagnef!H16+Hedemora!H16+Leksand!H16+Ludvika!H16+'Malung-Sälen'!H16+Mora!H16+Orsa!H16+Rättvik!H16+Smedjebacken!H16+Säter!H16+Vansbro!H16+Älvdalen!H16</f>
        <v>0</v>
      </c>
      <c r="I16" s="78">
        <f t="shared" ref="I16:I20" si="5">SUM(C16:H16)</f>
        <v>117645.817</v>
      </c>
      <c r="J16" s="78">
        <f>Avesta!J16+Borlänge!J16+Falun!J16+Gagnef!J16+Hedemora!J16+Leksand!J16+Ludvika!J16+'Malung-Sälen'!J16+Mora!J16+Orsa!J16+Rättvik!J16+Smedjebacken!J16+Säter!J16+Vansbro!J16+Älvdalen!J16</f>
        <v>154006.64000000001</v>
      </c>
      <c r="K16" s="147">
        <f>J16/(1-M16)</f>
        <v>158769.73195876292</v>
      </c>
      <c r="L16" s="148">
        <f t="shared" ref="L16:L17" si="6">K16-J16</f>
        <v>4763.0919587629032</v>
      </c>
      <c r="M16" s="29">
        <v>0.03</v>
      </c>
      <c r="O16"/>
      <c r="R16" t="s">
        <v>107</v>
      </c>
      <c r="S16" s="57">
        <f>J8</f>
        <v>345258</v>
      </c>
      <c r="T16" s="57">
        <f>S16/1000</f>
        <v>345.25799999999998</v>
      </c>
      <c r="U16" s="124"/>
    </row>
    <row r="17" spans="2:22" x14ac:dyDescent="0.25">
      <c r="B17" s="19" t="s">
        <v>22</v>
      </c>
      <c r="C17" s="78">
        <f>Avesta!C17+Borlänge!C17+Falun!C17+Gagnef!C17+Hedemora!C17+Leksand!C17+Ludvika!C17+'Malung-Sälen'!C17+Mora!C17+Orsa!C17+Rättvik!C17+Smedjebacken!C17+Säter!C17+Vansbro!C17+Älvdalen!C17</f>
        <v>0</v>
      </c>
      <c r="D17" s="78">
        <f>Avesta!D17+Borlänge!D17+Falun!D17+Gagnef!D17+Hedemora!D17+Leksand!D17+Ludvika!D17+'Malung-Sälen'!D17+Mora!D17+Orsa!D17+Rättvik!D17+Smedjebacken!D17+Säter!D17+Vansbro!D17+Älvdalen!D17</f>
        <v>0</v>
      </c>
      <c r="E17" s="78">
        <f>Avesta!E17+Borlänge!E17+Falun!E17+Gagnef!E17+Hedemora!E17+Leksand!E17+Ludvika!E17+'Malung-Sälen'!E17+Mora!E17+Orsa!E17+Rättvik!E17+Smedjebacken!E17+Säter!E17+Vansbro!E17+Älvdalen!E17</f>
        <v>0</v>
      </c>
      <c r="F17" s="78">
        <f>Avesta!F17+Borlänge!F17+Falun!F17+Gagnef!F17+Hedemora!F17+Leksand!F17+Ludvika!F17+'Malung-Sälen'!F17+Mora!F17+Orsa!F17+Rättvik!F17+Smedjebacken!F17+Säter!F17+Vansbro!F17+Älvdalen!F17</f>
        <v>0</v>
      </c>
      <c r="G17" s="78">
        <f>Avesta!G17+Borlänge!G17+Falun!G17+Gagnef!G17+Hedemora!G17+Leksand!G17+Ludvika!G17+'Malung-Sälen'!G17+Mora!G17+Orsa!G17+Rättvik!G17+Smedjebacken!G17+Säter!G17+Vansbro!G17+Älvdalen!G17</f>
        <v>0</v>
      </c>
      <c r="H17" s="78">
        <f>Avesta!H17+Borlänge!H17+Falun!H17+Gagnef!H17+Hedemora!H17+Leksand!H17+Ludvika!H17+'Malung-Sälen'!H17+Mora!H17+Orsa!H17+Rättvik!H17+Smedjebacken!H17+Säter!H17+Vansbro!H17+Älvdalen!H17</f>
        <v>0</v>
      </c>
      <c r="I17" s="78">
        <f t="shared" si="5"/>
        <v>0</v>
      </c>
      <c r="J17" s="78">
        <f>Avesta!J17+Borlänge!J17+Falun!J17+Gagnef!J17+Hedemora!J17+Leksand!J17+Ludvika!J17+'Malung-Sälen'!J17+Mora!J17+Orsa!J17+Rättvik!J17+Smedjebacken!J17+Säter!J17+Vansbro!J17+Älvdalen!J17</f>
        <v>0</v>
      </c>
      <c r="K17" s="147">
        <f>J17/(1-M17)</f>
        <v>0</v>
      </c>
      <c r="L17" s="148">
        <f t="shared" si="6"/>
        <v>0</v>
      </c>
      <c r="M17" s="29">
        <v>0.03</v>
      </c>
      <c r="O17" s="30"/>
      <c r="R17" t="s">
        <v>108</v>
      </c>
      <c r="S17" s="57">
        <f>J9</f>
        <v>160971</v>
      </c>
      <c r="T17" s="57">
        <f t="shared" ref="T17:T18" si="7">S17/1000</f>
        <v>160.971</v>
      </c>
      <c r="U17" s="124"/>
      <c r="V17" s="6"/>
    </row>
    <row r="18" spans="2:22" x14ac:dyDescent="0.25">
      <c r="B18" s="19" t="s">
        <v>23</v>
      </c>
      <c r="C18" s="78">
        <f>Avesta!C18+Borlänge!C18+Falun!C18+Gagnef!C18+Hedemora!C18+Leksand!C18+Ludvika!C18+'Malung-Sälen'!C18+Mora!C18+Orsa!C18+Rättvik!C18+Smedjebacken!C18+Säter!C18+Vansbro!C18+Älvdalen!C18</f>
        <v>0</v>
      </c>
      <c r="D18" s="78">
        <f>Avesta!D18+Borlänge!D18+Falun!D18+Gagnef!D18+Hedemora!D18+Leksand!D18+Ludvika!D18+'Malung-Sälen'!D18+Mora!D18+Orsa!D18+Rättvik!D18+Smedjebacken!D18+Säter!D18+Vansbro!D18+Älvdalen!D18</f>
        <v>0</v>
      </c>
      <c r="E18" s="78">
        <f>Avesta!E18+Borlänge!E18+Falun!E18+Gagnef!E18+Hedemora!E18+Leksand!E18+Ludvika!E18+'Malung-Sälen'!E18+Mora!E18+Orsa!E18+Rättvik!E18+Smedjebacken!E18+Säter!E18+Vansbro!E18+Älvdalen!E18</f>
        <v>0</v>
      </c>
      <c r="F18" s="78">
        <f>Avesta!F18+Borlänge!F18+Falun!F18+Gagnef!F18+Hedemora!F18+Leksand!F18+Ludvika!F18+'Malung-Sälen'!F18+Mora!F18+Orsa!F18+Rättvik!F18+Smedjebacken!F18+Säter!F18+Vansbro!F18+Älvdalen!F18</f>
        <v>0</v>
      </c>
      <c r="G18" s="78">
        <f>Avesta!G18+Borlänge!G18+Falun!G18+Gagnef!G18+Hedemora!G18+Leksand!G18+Ludvika!G18+'Malung-Sälen'!G18+Mora!G18+Orsa!G18+Rättvik!G18+Smedjebacken!G18+Säter!G18+Vansbro!G18+Älvdalen!G18</f>
        <v>0</v>
      </c>
      <c r="H18" s="78">
        <f>Avesta!H18+Borlänge!H18+Falun!H18+Gagnef!H18+Hedemora!H18+Leksand!H18+Ludvika!H18+'Malung-Sälen'!H18+Mora!H18+Orsa!H18+Rättvik!H18+Smedjebacken!H18+Säter!H18+Vansbro!H18+Älvdalen!H18</f>
        <v>0</v>
      </c>
      <c r="I18" s="78">
        <f t="shared" si="5"/>
        <v>0</v>
      </c>
      <c r="J18" s="78">
        <f>Avesta!J18+Borlänge!J18+Falun!J18+Gagnef!J18+Hedemora!J18+Leksand!J18+Ludvika!J18+'Malung-Sälen'!J18+Mora!J18+Orsa!J18+Rättvik!J18+Smedjebacken!J18+Säter!J18+Vansbro!J18+Älvdalen!J18</f>
        <v>2730929</v>
      </c>
      <c r="K18" s="147">
        <f>J18/(1-M18)</f>
        <v>2752952.6209677421</v>
      </c>
      <c r="L18" s="148"/>
      <c r="M18" s="31">
        <v>8.0000000000000002E-3</v>
      </c>
      <c r="O18" s="30"/>
      <c r="R18" t="s">
        <v>109</v>
      </c>
      <c r="S18" s="57">
        <f>J6+J7</f>
        <v>15736</v>
      </c>
      <c r="T18" s="57">
        <f t="shared" si="7"/>
        <v>15.736000000000001</v>
      </c>
      <c r="U18"/>
    </row>
    <row r="19" spans="2:22" x14ac:dyDescent="0.25">
      <c r="B19" s="19" t="s">
        <v>24</v>
      </c>
      <c r="C19" s="78">
        <f>Avesta!C19+Borlänge!C19+Falun!C19+Gagnef!C19+Hedemora!C19+Leksand!C19+Ludvika!C19+'Malung-Sälen'!C19+Mora!C19+Orsa!C19+Rättvik!C19+Smedjebacken!C19+Säter!C19+Vansbro!C19+Älvdalen!C19</f>
        <v>0</v>
      </c>
      <c r="D19" s="78">
        <f>Avesta!D19+Borlänge!D19+Falun!D19+Gagnef!D19+Hedemora!D19+Leksand!D19+Ludvika!D19+'Malung-Sälen'!D19+Mora!D19+Orsa!D19+Rättvik!D19+Smedjebacken!D19+Säter!D19+Vansbro!D19+Älvdalen!D19</f>
        <v>0</v>
      </c>
      <c r="E19" s="78">
        <f>Avesta!E19+Borlänge!E19+Falun!E19+Gagnef!E19+Hedemora!E19+Leksand!E19+Ludvika!E19+'Malung-Sälen'!E19+Mora!E19+Orsa!E19+Rättvik!E19+Smedjebacken!E19+Säter!E19+Vansbro!E19+Älvdalen!E19</f>
        <v>0</v>
      </c>
      <c r="F19" s="78">
        <f>Avesta!F19+Borlänge!F19+Falun!F19+Gagnef!F19+Hedemora!F19+Leksand!F19+Ludvika!F19+'Malung-Sälen'!F19+Mora!F19+Orsa!F19+Rättvik!F19+Smedjebacken!F19+Säter!F19+Vansbro!F19+Älvdalen!F19</f>
        <v>0</v>
      </c>
      <c r="G19" s="78">
        <f>Avesta!G19+Borlänge!G19+Falun!G19+Gagnef!G19+Hedemora!G19+Leksand!G19+Ludvika!G19+'Malung-Sälen'!G19+Mora!G19+Orsa!G19+Rättvik!G19+Smedjebacken!G19+Säter!G19+Vansbro!G19+Älvdalen!G19</f>
        <v>0</v>
      </c>
      <c r="H19" s="78">
        <f>Avesta!H19+Borlänge!H19+Falun!H19+Gagnef!H19+Hedemora!H19+Leksand!H19+Ludvika!H19+'Malung-Sälen'!H19+Mora!H19+Orsa!H19+Rättvik!H19+Smedjebacken!H19+Säter!H19+Vansbro!H19+Älvdalen!H19</f>
        <v>0</v>
      </c>
      <c r="I19" s="78">
        <f t="shared" si="5"/>
        <v>0</v>
      </c>
      <c r="J19" s="78">
        <f>Avesta!J19+Borlänge!J19+Falun!J19+Gagnef!J19+Hedemora!J19+Leksand!J19+Ludvika!J19+'Malung-Sälen'!J19+Mora!J19+Orsa!J19+Rättvik!J19+Smedjebacken!J19+Säter!J19+Vansbro!J19+Älvdalen!J19</f>
        <v>622863.35999999999</v>
      </c>
      <c r="K19" s="147">
        <f>J19/(1-M19)</f>
        <v>622863.35999999999</v>
      </c>
      <c r="L19" s="148"/>
      <c r="M19" s="1">
        <v>0</v>
      </c>
      <c r="O19" s="30"/>
      <c r="R19" t="s">
        <v>110</v>
      </c>
      <c r="S19" s="57">
        <f>SUM(S15:S18)</f>
        <v>17529306.507770725</v>
      </c>
      <c r="T19" s="57">
        <f>SUM(T15:T18)</f>
        <v>17529.306507770722</v>
      </c>
      <c r="U19"/>
    </row>
    <row r="20" spans="2:22" x14ac:dyDescent="0.25">
      <c r="B20" s="19" t="s">
        <v>14</v>
      </c>
      <c r="C20" s="78">
        <f t="shared" ref="C20:H20" si="8">SUM(C15:C19)</f>
        <v>3152.558</v>
      </c>
      <c r="D20" s="78">
        <f t="shared" si="8"/>
        <v>85373</v>
      </c>
      <c r="E20" s="78">
        <f t="shared" si="8"/>
        <v>0</v>
      </c>
      <c r="F20" s="78">
        <f t="shared" si="8"/>
        <v>0</v>
      </c>
      <c r="G20" s="78">
        <f t="shared" si="8"/>
        <v>268063.75</v>
      </c>
      <c r="H20" s="78">
        <f t="shared" si="8"/>
        <v>0</v>
      </c>
      <c r="I20" s="78">
        <f t="shared" si="5"/>
        <v>356589.30800000002</v>
      </c>
      <c r="J20" s="78">
        <f>SUM(J15:J19)</f>
        <v>3635641</v>
      </c>
      <c r="K20" s="93">
        <f>SUM(K15:K19)</f>
        <v>3666381.5892151645</v>
      </c>
      <c r="L20" s="93">
        <f>SUM(L15:L19)</f>
        <v>8716.9682474226865</v>
      </c>
      <c r="M20" s="32"/>
      <c r="N20" s="33"/>
      <c r="O20" s="30"/>
      <c r="R20"/>
      <c r="S20"/>
      <c r="T20"/>
      <c r="U20"/>
    </row>
    <row r="21" spans="2:22" x14ac:dyDescent="0.25">
      <c r="B21" s="24"/>
      <c r="C21" s="112"/>
      <c r="D21" s="112"/>
      <c r="E21" s="112"/>
      <c r="F21" s="112"/>
      <c r="G21" s="112"/>
      <c r="H21" s="112"/>
      <c r="I21" s="112"/>
      <c r="J21" s="112"/>
      <c r="K21" s="114">
        <f>K20-J20</f>
        <v>30740.589215164538</v>
      </c>
      <c r="L21" s="113"/>
      <c r="M21" s="30"/>
      <c r="R21" s="19" t="s">
        <v>111</v>
      </c>
      <c r="S21" s="21">
        <f>IF(J28&lt;0,0,J28)</f>
        <v>0</v>
      </c>
      <c r="T21" s="123">
        <f t="shared" ref="T21:T27" si="9">S21/1000</f>
        <v>0</v>
      </c>
      <c r="U21" s="124"/>
    </row>
    <row r="22" spans="2:22" x14ac:dyDescent="0.25">
      <c r="B22" s="24"/>
      <c r="C22" s="112"/>
      <c r="D22" s="112"/>
      <c r="E22" s="112"/>
      <c r="F22" s="112"/>
      <c r="G22" s="112"/>
      <c r="H22" s="112"/>
      <c r="I22" s="112"/>
      <c r="J22" s="112"/>
      <c r="K22" s="112"/>
      <c r="L22" s="113"/>
      <c r="R22" s="19" t="s">
        <v>35</v>
      </c>
      <c r="S22" s="126">
        <f>K32</f>
        <v>143092.06666666665</v>
      </c>
      <c r="T22" s="123">
        <f t="shared" si="9"/>
        <v>143.09206666666665</v>
      </c>
      <c r="U22" s="124"/>
    </row>
    <row r="23" spans="2:22" ht="15.75" thickBot="1" x14ac:dyDescent="0.3">
      <c r="B23" s="35" t="s">
        <v>25</v>
      </c>
      <c r="C23" s="149"/>
      <c r="D23" s="149"/>
      <c r="E23" s="149"/>
      <c r="F23" s="149"/>
      <c r="G23" s="149"/>
      <c r="H23" s="149"/>
      <c r="I23" s="149"/>
      <c r="J23" s="149">
        <f>S47*1000</f>
        <v>16900</v>
      </c>
      <c r="K23" s="149"/>
      <c r="L23" s="150"/>
      <c r="R23" s="19" t="s">
        <v>36</v>
      </c>
      <c r="S23" s="126">
        <f>K33</f>
        <v>8262435.638888889</v>
      </c>
      <c r="T23" s="123">
        <f t="shared" si="9"/>
        <v>8262.4356388888882</v>
      </c>
      <c r="U23" s="124"/>
    </row>
    <row r="24" spans="2:22" x14ac:dyDescent="0.25"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R24" s="19" t="s">
        <v>37</v>
      </c>
      <c r="S24" s="126">
        <f>K34</f>
        <v>604604.18521191692</v>
      </c>
      <c r="T24" s="123">
        <f t="shared" si="9"/>
        <v>604.60418521191696</v>
      </c>
      <c r="U24" s="124"/>
    </row>
    <row r="25" spans="2:22" ht="15.75" thickBot="1" x14ac:dyDescent="0.3"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R25" s="19" t="s">
        <v>38</v>
      </c>
      <c r="S25" s="126">
        <f>K35</f>
        <v>3219659</v>
      </c>
      <c r="T25" s="123">
        <f t="shared" si="9"/>
        <v>3219.6590000000001</v>
      </c>
      <c r="U25" s="124"/>
    </row>
    <row r="26" spans="2:22" x14ac:dyDescent="0.25">
      <c r="B26" s="8"/>
      <c r="C26" s="96"/>
      <c r="D26" s="96"/>
      <c r="E26" s="96"/>
      <c r="F26" s="96"/>
      <c r="G26" s="96"/>
      <c r="H26" s="77"/>
      <c r="I26" s="97" t="s">
        <v>26</v>
      </c>
      <c r="J26" s="98" t="s">
        <v>27</v>
      </c>
      <c r="K26" s="77"/>
      <c r="L26" s="77"/>
      <c r="M26" s="38" t="s">
        <v>28</v>
      </c>
      <c r="R26" s="19" t="s">
        <v>39</v>
      </c>
      <c r="S26" s="126">
        <f>K36</f>
        <v>1079352.7481214164</v>
      </c>
      <c r="T26" s="123">
        <f t="shared" si="9"/>
        <v>1079.3527481214164</v>
      </c>
      <c r="U26" s="124"/>
    </row>
    <row r="27" spans="2:22" x14ac:dyDescent="0.25">
      <c r="B27" s="39" t="s">
        <v>29</v>
      </c>
      <c r="C27" s="78"/>
      <c r="D27" s="78"/>
      <c r="E27" s="78"/>
      <c r="F27" s="78"/>
      <c r="G27" s="78"/>
      <c r="H27" s="77"/>
      <c r="I27" s="72">
        <f>J10-I40</f>
        <v>289310</v>
      </c>
      <c r="J27" s="80">
        <f>J40*8%</f>
        <v>603495.03466666664</v>
      </c>
      <c r="K27" s="77"/>
      <c r="L27" s="77"/>
      <c r="M27" s="40">
        <f>100-(I40/J10*100)</f>
        <v>16.404457684993133</v>
      </c>
      <c r="R27" s="19" t="s">
        <v>44</v>
      </c>
      <c r="S27" s="126">
        <f>K41</f>
        <v>2838168.25</v>
      </c>
      <c r="T27" s="123">
        <f t="shared" si="9"/>
        <v>2838.1682500000002</v>
      </c>
      <c r="U27" s="124"/>
    </row>
    <row r="28" spans="2:22" ht="15.75" thickBot="1" x14ac:dyDescent="0.3">
      <c r="B28" s="35" t="s">
        <v>30</v>
      </c>
      <c r="C28" s="94"/>
      <c r="D28" s="94"/>
      <c r="E28" s="94"/>
      <c r="F28" s="94"/>
      <c r="G28" s="94"/>
      <c r="H28" s="94"/>
      <c r="I28" s="99">
        <f>I40+I27-J10</f>
        <v>0</v>
      </c>
      <c r="J28" s="122">
        <f>J20-J27-J40</f>
        <v>-4511541.9680000003</v>
      </c>
      <c r="K28" s="77"/>
      <c r="L28" s="77"/>
      <c r="M28" s="1" t="str">
        <f>IF(M27&gt;10,"OBS! HÖGA FÖRLUSTER","OK")</f>
        <v>OBS! HÖGA FÖRLUSTER</v>
      </c>
      <c r="R28" s="19" t="s">
        <v>112</v>
      </c>
      <c r="S28" s="58">
        <f>SUM(S22:S27)</f>
        <v>16147311.88888889</v>
      </c>
      <c r="T28" s="58">
        <f>SUM(T22:T27)</f>
        <v>16147.311888888889</v>
      </c>
      <c r="U28" s="124"/>
    </row>
    <row r="29" spans="2:22" ht="15.75" thickBot="1" x14ac:dyDescent="0.3">
      <c r="C29" s="77"/>
      <c r="D29" s="77"/>
      <c r="E29" s="77"/>
      <c r="F29" s="77"/>
      <c r="G29" s="77"/>
      <c r="H29" s="77"/>
      <c r="I29" s="77"/>
      <c r="J29" s="77"/>
      <c r="K29" s="77"/>
      <c r="L29" s="77"/>
      <c r="R29" s="127" t="s">
        <v>113</v>
      </c>
      <c r="S29" s="128"/>
      <c r="T29" s="129">
        <f t="shared" ref="T29:T37" si="10">S29/1000</f>
        <v>0</v>
      </c>
      <c r="U29" s="48"/>
    </row>
    <row r="30" spans="2:22" ht="15.75" thickBot="1" x14ac:dyDescent="0.3">
      <c r="B30" s="8"/>
      <c r="C30" s="100" t="s">
        <v>0</v>
      </c>
      <c r="D30" s="100"/>
      <c r="E30" s="100"/>
      <c r="F30" s="100" t="s">
        <v>1</v>
      </c>
      <c r="G30" s="100"/>
      <c r="H30" s="96"/>
      <c r="I30" s="96"/>
      <c r="J30" s="96"/>
      <c r="K30" s="101"/>
      <c r="L30" s="77"/>
      <c r="R30" s="49" t="s">
        <v>114</v>
      </c>
      <c r="S30" s="50">
        <f>J27</f>
        <v>603495.03466666664</v>
      </c>
      <c r="T30" s="130">
        <f t="shared" si="10"/>
        <v>603.4950346666667</v>
      </c>
      <c r="U30" s="164"/>
    </row>
    <row r="31" spans="2:22" ht="30" x14ac:dyDescent="0.25">
      <c r="B31" s="41" t="s">
        <v>31</v>
      </c>
      <c r="C31" s="154" t="s">
        <v>58</v>
      </c>
      <c r="D31" s="154" t="s">
        <v>97</v>
      </c>
      <c r="E31" s="154" t="s">
        <v>56</v>
      </c>
      <c r="F31" s="155" t="s">
        <v>57</v>
      </c>
      <c r="G31" s="155" t="s">
        <v>102</v>
      </c>
      <c r="H31" s="155" t="s">
        <v>25</v>
      </c>
      <c r="I31" s="156" t="s">
        <v>32</v>
      </c>
      <c r="J31" s="156" t="s">
        <v>33</v>
      </c>
      <c r="K31" s="157" t="s">
        <v>34</v>
      </c>
      <c r="L31" s="77"/>
      <c r="R31" s="49" t="s">
        <v>115</v>
      </c>
      <c r="S31" s="50">
        <f>I27</f>
        <v>289310</v>
      </c>
      <c r="T31" s="130">
        <f t="shared" si="10"/>
        <v>289.31</v>
      </c>
      <c r="U31" s="164"/>
    </row>
    <row r="32" spans="2:22" x14ac:dyDescent="0.25">
      <c r="B32" s="19" t="s">
        <v>35</v>
      </c>
      <c r="C32" s="78">
        <f>Avesta!C32+Borlänge!C32+Falun!C32+Gagnef!C32+Hedemora!C32+Leksand!C32+Ludvika!C32+'Malung-Sälen'!C32+Mora!C32+Orsa!C32+Rättvik!C32+Smedjebacken!C32+Säter!C32+Vansbro!C32+Älvdalen!C32</f>
        <v>59095.566666666666</v>
      </c>
      <c r="D32" s="78">
        <f>Avesta!D32+Borlänge!D32+Falun!D32+Gagnef!D32+Hedemora!D32+Leksand!D32+Ludvika!D32+'Malung-Sälen'!D32+Mora!D32+Orsa!D32+Rättvik!D32+Smedjebacken!D32+Säter!D32+Vansbro!D32+Älvdalen!D32</f>
        <v>0</v>
      </c>
      <c r="E32" s="78">
        <f>Avesta!E32+Borlänge!E32+Falun!E32+Gagnef!E32+Hedemora!E32+Leksand!E32+Ludvika!E32+'Malung-Sälen'!E32+Mora!E32+Orsa!E32+Rättvik!E32+Smedjebacken!E32+Säter!E32+Vansbro!E32+Älvdalen!E32</f>
        <v>0</v>
      </c>
      <c r="F32" s="78">
        <f>Avesta!F32+Borlänge!F32+Falun!F32+Gagnef!F32+Hedemora!F32+Leksand!F32+Ludvika!F32+'Malung-Sälen'!F32+Mora!F32+Orsa!F32+Rättvik!F32+Smedjebacken!F32+Säter!F32+Vansbro!F32+Älvdalen!F32</f>
        <v>5648.5</v>
      </c>
      <c r="G32" s="78">
        <f>Avesta!G32+Borlänge!G32+Falun!G32+Gagnef!G32+Hedemora!G32+Leksand!G32+Ludvika!G32+'Malung-Sälen'!G32+Mora!G32+Orsa!G32+Rättvik!G32+Smedjebacken!G32+Säter!G32+Vansbro!G32+Älvdalen!G32</f>
        <v>0</v>
      </c>
      <c r="H32" s="78">
        <f>Avesta!H32+Borlänge!H32+Falun!H32+Gagnef!H32+Hedemora!H32+Leksand!H32+Ludvika!H32+'Malung-Sälen'!H32+Mora!H32+Orsa!H32+Rättvik!H32+Smedjebacken!H32+Säter!H32+Vansbro!H32+Älvdalen!H32</f>
        <v>0</v>
      </c>
      <c r="I32" s="78">
        <f>Avesta!I32+Borlänge!I32+Falun!I32+Gagnef!I32+Hedemora!I32+Leksand!I32+Ludvika!I32+'Malung-Sälen'!I32+Mora!I32+Orsa!I32+Rättvik!I32+Smedjebacken!I32+Säter!I32+Vansbro!I32+Älvdalen!I32</f>
        <v>0</v>
      </c>
      <c r="J32" s="78">
        <f>Avesta!J32+Borlänge!J32+Falun!J32+Gagnef!J32+Hedemora!J32+Leksand!J32+Ludvika!J32+'Malung-Sälen'!J32+Mora!J32+Orsa!J32+Rättvik!J32+Smedjebacken!J32+Säter!J32+Vansbro!J32+Älvdalen!J32</f>
        <v>78348</v>
      </c>
      <c r="K32" s="80">
        <f>SUM(C32:J32)</f>
        <v>143092.06666666665</v>
      </c>
      <c r="L32" s="77"/>
      <c r="R32" s="49" t="s">
        <v>116</v>
      </c>
      <c r="S32" s="50">
        <f>K20-J20</f>
        <v>30740.589215164538</v>
      </c>
      <c r="T32" s="130">
        <f t="shared" si="10"/>
        <v>30.740589215164537</v>
      </c>
      <c r="U32" s="165"/>
    </row>
    <row r="33" spans="2:39" x14ac:dyDescent="0.25">
      <c r="B33" s="19" t="s">
        <v>36</v>
      </c>
      <c r="C33" s="78">
        <f>Avesta!C33+Borlänge!C33+Falun!C33+Gagnef!C33+Hedemora!C33+Leksand!C33+Ludvika!C33+'Malung-Sälen'!C33+Mora!C33+Orsa!C33+Rättvik!C33+Smedjebacken!C33+Säter!C33+Vansbro!C33+Älvdalen!C33</f>
        <v>869662.4611111111</v>
      </c>
      <c r="D33" s="173">
        <f>Avesta!D33+Borlänge!D33+Falun!D33+Gagnef!D33+Hedemora!D33+Leksand!D33+Ludvika!D33+'Malung-Sälen'!D33+Mora!D33+Orsa!D33+Rättvik!D33+Smedjebacken!D33+Säter!D33+Vansbro!D33+Älvdalen!D33</f>
        <v>184314.5</v>
      </c>
      <c r="E33" s="78">
        <f>Avesta!E33+Borlänge!E33+Falun!E33+Gagnef!E33+Hedemora!E33+Leksand!E33+Ludvika!E33+'Malung-Sälen'!E33+Mora!E33+Orsa!E33+Rättvik!E33+Smedjebacken!E33+Säter!E33+Vansbro!E33+Älvdalen!E33</f>
        <v>932800.02777777775</v>
      </c>
      <c r="F33" s="78">
        <f>Avesta!F33+Borlänge!F33+Falun!F33+Gagnef!F33+Hedemora!F33+Leksand!F33+Ludvika!F33+'Malung-Sälen'!F33+Mora!F33+Orsa!F33+Rättvik!F33+Smedjebacken!F33+Säter!F33+Vansbro!F33+Älvdalen!F33</f>
        <v>12458.5</v>
      </c>
      <c r="G33" s="78">
        <f>Avesta!G33+Borlänge!G33+Falun!G33+Gagnef!G33+Hedemora!G33+Leksand!G33+Ludvika!G33+'Malung-Sälen'!G33+Mora!G33+Orsa!G33+Rättvik!G33+Smedjebacken!G33+Säter!G33+Vansbro!G33+Älvdalen!G33</f>
        <v>1179817.1499999999</v>
      </c>
      <c r="H33" s="78">
        <f>Avesta!H33+Borlänge!H33+Falun!H33+Gagnef!H33+Hedemora!H33+Leksand!H33+Ludvika!H33+'Malung-Sälen'!H33+Mora!H33+Orsa!H33+Rättvik!H33+Smedjebacken!H33+Säter!H33+Vansbro!H33+Älvdalen!H33</f>
        <v>0</v>
      </c>
      <c r="I33" s="78">
        <f>Avesta!I33+Borlänge!I33+Falun!I33+Gagnef!I33+Hedemora!I33+Leksand!I33+Ludvika!I33+'Malung-Sälen'!I33+Mora!I33+Orsa!I33+Rättvik!I33+Smedjebacken!I33+Säter!I33+Vansbro!I33+Älvdalen!I33</f>
        <v>218568</v>
      </c>
      <c r="J33" s="78">
        <f>Avesta!J33+Borlänge!J33+Falun!J33+Gagnef!J33+Hedemora!J33+Leksand!J33+Ludvika!J33+'Malung-Sälen'!J33+Mora!J33+Orsa!J33+Rättvik!J33+Smedjebacken!J33+Säter!J33+Vansbro!J33+Älvdalen!J33</f>
        <v>4864815</v>
      </c>
      <c r="K33" s="175">
        <f t="shared" ref="K33:K40" si="11">SUM(C33:J33)</f>
        <v>8262435.638888889</v>
      </c>
      <c r="L33" s="77"/>
      <c r="R33" s="49" t="s">
        <v>117</v>
      </c>
      <c r="S33" s="50">
        <f>L4</f>
        <v>-2843.783000000054</v>
      </c>
      <c r="T33" s="130">
        <f t="shared" si="10"/>
        <v>-2.8437830000000539</v>
      </c>
      <c r="U33" s="164"/>
    </row>
    <row r="34" spans="2:39" x14ac:dyDescent="0.25">
      <c r="B34" s="19" t="s">
        <v>37</v>
      </c>
      <c r="C34" s="78">
        <f>Avesta!C34+Borlänge!C34+Falun!C34+Gagnef!C34+Hedemora!C34+Leksand!C34+Ludvika!C34+'Malung-Sälen'!C34+Mora!C34+Orsa!C34+Rättvik!C34+Smedjebacken!C34+Säter!C34+Vansbro!C34+Älvdalen!C34</f>
        <v>12329</v>
      </c>
      <c r="D34" s="78">
        <f>Avesta!D34+Borlänge!D34+Falun!D34+Gagnef!D34+Hedemora!D34+Leksand!D34+Ludvika!D34+'Malung-Sälen'!D34+Mora!D34+Orsa!D34+Rättvik!D34+Smedjebacken!D34+Säter!D34+Vansbro!D34+Älvdalen!D34</f>
        <v>0</v>
      </c>
      <c r="E34" s="78">
        <f>Avesta!E34+Borlänge!E34+Falun!E34+Gagnef!E34+Hedemora!E34+Leksand!E34+Ludvika!E34+'Malung-Sälen'!E34+Mora!E34+Orsa!E34+Rättvik!E34+Smedjebacken!E34+Säter!E34+Vansbro!E34+Älvdalen!E34</f>
        <v>0</v>
      </c>
      <c r="F34" s="78">
        <f>Avesta!F34+Borlänge!F34+Falun!F34+Gagnef!F34+Hedemora!F34+Leksand!F34+Ludvika!F34+'Malung-Sälen'!F34+Mora!F34+Orsa!F34+Rättvik!F34+Smedjebacken!F34+Säter!F34+Vansbro!F34+Älvdalen!F34</f>
        <v>0</v>
      </c>
      <c r="G34" s="78">
        <f>Avesta!G34+Borlänge!G34+Falun!G34+Gagnef!G34+Hedemora!G34+Leksand!G34+Ludvika!G34+'Malung-Sälen'!G34+Mora!G34+Orsa!G34+Rättvik!G34+Smedjebacken!G34+Säter!G34+Vansbro!G34+Älvdalen!G34</f>
        <v>0</v>
      </c>
      <c r="H34" s="78">
        <f>Avesta!H34+Borlänge!H34+Falun!H34+Gagnef!H34+Hedemora!H34+Leksand!H34+Ludvika!H34+'Malung-Sälen'!H34+Mora!H34+Orsa!H34+Rättvik!H34+Smedjebacken!H34+Säter!H34+Vansbro!H34+Älvdalen!H34</f>
        <v>0</v>
      </c>
      <c r="I34" s="173">
        <f>Avesta!I34+Borlänge!I34+Falun!I34+Gagnef!I34+Hedemora!I34+Leksand!I34+Ludvika!I34+'Malung-Sälen'!I34+Mora!I34+Orsa!I34+Rättvik!I34+Smedjebacken!I34+Säter!I34+Vansbro!I34+Älvdalen!I34</f>
        <v>223475.18521191686</v>
      </c>
      <c r="J34" s="78">
        <f>Avesta!J34+Borlänge!J34+Falun!J34+Gagnef!J34+Hedemora!J34+Leksand!J34+Ludvika!J34+'Malung-Sälen'!J34+Mora!J34+Orsa!J34+Rättvik!J34+Smedjebacken!J34+Säter!J34+Vansbro!J34+Älvdalen!J34</f>
        <v>368800</v>
      </c>
      <c r="K34" s="175">
        <f t="shared" si="11"/>
        <v>604604.18521191692</v>
      </c>
      <c r="L34" s="77"/>
      <c r="R34" s="49" t="s">
        <v>118</v>
      </c>
      <c r="S34" s="50">
        <f>L5</f>
        <v>104703.46999999997</v>
      </c>
      <c r="T34" s="130">
        <f t="shared" si="10"/>
        <v>104.70346999999997</v>
      </c>
      <c r="U34" s="164"/>
    </row>
    <row r="35" spans="2:39" x14ac:dyDescent="0.25">
      <c r="B35" s="19" t="s">
        <v>38</v>
      </c>
      <c r="C35" s="78">
        <f>Avesta!C35+Borlänge!C35+Falun!C35+Gagnef!C35+Hedemora!C35+Leksand!C35+Ludvika!C35+'Malung-Sälen'!C35+Mora!C35+Orsa!C35+Rättvik!C35+Smedjebacken!C35+Säter!C35+Vansbro!C35+Älvdalen!C35</f>
        <v>2847723</v>
      </c>
      <c r="D35" s="78">
        <f>Avesta!D35+Borlänge!D35+Falun!D35+Gagnef!D35+Hedemora!D35+Leksand!D35+Ludvika!D35+'Malung-Sälen'!D35+Mora!D35+Orsa!D35+Rättvik!D35+Smedjebacken!D35+Säter!D35+Vansbro!D35+Älvdalen!D35</f>
        <v>0</v>
      </c>
      <c r="E35" s="78">
        <f>Avesta!E35+Borlänge!E35+Falun!E35+Gagnef!E35+Hedemora!E35+Leksand!E35+Ludvika!E35+'Malung-Sälen'!E35+Mora!E35+Orsa!E35+Rättvik!E35+Smedjebacken!E35+Säter!E35+Vansbro!E35+Älvdalen!E35</f>
        <v>0</v>
      </c>
      <c r="F35" s="78">
        <f>Avesta!F35+Borlänge!F35+Falun!F35+Gagnef!F35+Hedemora!F35+Leksand!F35+Ludvika!F35+'Malung-Sälen'!F35+Mora!F35+Orsa!F35+Rättvik!F35+Smedjebacken!F35+Säter!F35+Vansbro!F35+Älvdalen!F35</f>
        <v>263981</v>
      </c>
      <c r="G35" s="78">
        <f>Avesta!G35+Borlänge!G35+Falun!G35+Gagnef!G35+Hedemora!G35+Leksand!G35+Ludvika!G35+'Malung-Sälen'!G35+Mora!G35+Orsa!G35+Rättvik!G35+Smedjebacken!G35+Säter!G35+Vansbro!G35+Älvdalen!G35</f>
        <v>0</v>
      </c>
      <c r="H35" s="78">
        <f>J23</f>
        <v>16900</v>
      </c>
      <c r="I35" s="78">
        <f>Avesta!I35+Borlänge!I35+Falun!I35+Gagnef!I35+Hedemora!I35+Leksand!I35+Ludvika!I35+'Malung-Sälen'!I35+Mora!I35+Orsa!I35+Rättvik!I35+Smedjebacken!I35+Säter!I35+Vansbro!I35+Älvdalen!I35</f>
        <v>0</v>
      </c>
      <c r="J35" s="78">
        <f>Avesta!J35+Borlänge!J35+Falun!J35+Gagnef!J35+Hedemora!J35+Leksand!J35+Ludvika!J35+'Malung-Sälen'!J35+Mora!J35+Orsa!J35+Rättvik!J35+Smedjebacken!J35+Säter!J35+Vansbro!J35+Älvdalen!J35</f>
        <v>91055</v>
      </c>
      <c r="K35" s="80">
        <f t="shared" si="11"/>
        <v>3219659</v>
      </c>
      <c r="L35" s="77"/>
      <c r="R35" s="49" t="s">
        <v>119</v>
      </c>
      <c r="S35" s="50">
        <f>L15</f>
        <v>3953.8762886597833</v>
      </c>
      <c r="T35" s="130">
        <f t="shared" si="10"/>
        <v>3.9538762886597834</v>
      </c>
      <c r="U35" s="164"/>
    </row>
    <row r="36" spans="2:39" ht="15.75" thickBot="1" x14ac:dyDescent="0.3">
      <c r="B36" s="19" t="s">
        <v>39</v>
      </c>
      <c r="C36" s="78">
        <f>Avesta!C36+Borlänge!C36+Falun!C36+Gagnef!C36+Hedemora!C36+Leksand!C36+Ludvika!C36+'Malung-Sälen'!C36+Mora!C36+Orsa!C36+Rättvik!C36+Smedjebacken!C36+Säter!C36+Vansbro!C36+Älvdalen!C36</f>
        <v>56554</v>
      </c>
      <c r="D36" s="78">
        <f>Avesta!D36+Borlänge!D36+Falun!D36+Gagnef!D36+Hedemora!D36+Leksand!D36+Ludvika!D36+'Malung-Sälen'!D36+Mora!D36+Orsa!D36+Rättvik!D36+Smedjebacken!D36+Säter!D36+Vansbro!D36+Älvdalen!D36</f>
        <v>0</v>
      </c>
      <c r="E36" s="78">
        <f>Avesta!E36+Borlänge!E36+Falun!E36+Gagnef!E36+Hedemora!E36+Leksand!E36+Ludvika!E36+'Malung-Sälen'!E36+Mora!E36+Orsa!E36+Rättvik!E36+Smedjebacken!E36+Säter!E36+Vansbro!E36+Älvdalen!E36</f>
        <v>0</v>
      </c>
      <c r="F36" s="78">
        <f>Avesta!F36+Borlänge!F36+Falun!F36+Gagnef!F36+Hedemora!F36+Leksand!F36+Ludvika!F36+'Malung-Sälen'!F36+Mora!F36+Orsa!F36+Rättvik!F36+Smedjebacken!F36+Säter!F36+Vansbro!F36+Älvdalen!F36</f>
        <v>0</v>
      </c>
      <c r="G36" s="78">
        <f>Avesta!G36+Borlänge!G36+Falun!G36+Gagnef!G36+Hedemora!G36+Leksand!G36+Ludvika!G36+'Malung-Sälen'!G36+Mora!G36+Orsa!G36+Rättvik!G36+Smedjebacken!G36+Säter!G36+Vansbro!G36+Älvdalen!G36</f>
        <v>0</v>
      </c>
      <c r="H36" s="78">
        <f>Avesta!H36+Borlänge!H36+Falun!H36+Gagnef!H36+Hedemora!H36+Leksand!H36+Ludvika!H36+'Malung-Sälen'!H36+Mora!H36+Orsa!H36+Rättvik!H36+Smedjebacken!H36+Säter!H36+Vansbro!H36+Älvdalen!H36</f>
        <v>0</v>
      </c>
      <c r="I36" s="173">
        <f>Avesta!I36+Borlänge!I36+Falun!I36+Gagnef!I36+Hedemora!I36+Leksand!I36+Ludvika!I36+'Malung-Sälen'!I36+Mora!I36+Orsa!I36+Rättvik!I36+Smedjebacken!I36+Säter!I36+Vansbro!I36+Älvdalen!I36</f>
        <v>246663.81478808314</v>
      </c>
      <c r="J36" s="173">
        <f>Avesta!J36+Borlänge!J36+Falun!J36+Gagnef!J36+Hedemora!J36+Leksand!J36+Ludvika!J36+'Malung-Sälen'!J36+Mora!J36+Orsa!J36+Rättvik!J36+Smedjebacken!J36+Säter!J36+Vansbro!J36+Älvdalen!J36</f>
        <v>776134.93333333335</v>
      </c>
      <c r="K36" s="80">
        <f t="shared" si="11"/>
        <v>1079352.7481214164</v>
      </c>
      <c r="L36" s="77"/>
      <c r="R36" s="54" t="s">
        <v>120</v>
      </c>
      <c r="S36" s="131">
        <f>L16</f>
        <v>4763.0919587629032</v>
      </c>
      <c r="T36" s="132">
        <f t="shared" si="10"/>
        <v>4.763091958762903</v>
      </c>
    </row>
    <row r="37" spans="2:39" ht="15.75" thickBot="1" x14ac:dyDescent="0.3">
      <c r="B37" s="19" t="s">
        <v>40</v>
      </c>
      <c r="C37" s="173">
        <f>Avesta!C37+Borlänge!C37+Falun!C37+Gagnef!C37+Hedemora!C37+Leksand!C37+Ludvika!C37+'Malung-Sälen'!C37+Mora!C37+Orsa!C37+Rättvik!C37+Smedjebacken!C37+Säter!C37+Vansbro!C37+Älvdalen!C37</f>
        <v>13651.583333333334</v>
      </c>
      <c r="D37" s="78">
        <f>Avesta!D37+Borlänge!D37+Falun!D37+Gagnef!D37+Hedemora!D37+Leksand!D37+Ludvika!D37+'Malung-Sälen'!D37+Mora!D37+Orsa!D37+Rättvik!D37+Smedjebacken!D37+Säter!D37+Vansbro!D37+Älvdalen!D37</f>
        <v>0</v>
      </c>
      <c r="E37" s="78">
        <f>Avesta!E37+Borlänge!E37+Falun!E37+Gagnef!E37+Hedemora!E37+Leksand!E37+Ludvika!E37+'Malung-Sälen'!E37+Mora!E37+Orsa!E37+Rättvik!E37+Smedjebacken!E37+Säter!E37+Vansbro!E37+Älvdalen!E37</f>
        <v>0</v>
      </c>
      <c r="F37" s="78">
        <f>Avesta!F37+Borlänge!F37+Falun!F37+Gagnef!F37+Hedemora!F37+Leksand!F37+Ludvika!F37+'Malung-Sälen'!F37+Mora!F37+Orsa!F37+Rättvik!F37+Smedjebacken!F37+Säter!F37+Vansbro!F37+Älvdalen!F37</f>
        <v>0</v>
      </c>
      <c r="G37" s="78">
        <f>Avesta!G37+Borlänge!G37+Falun!G37+Gagnef!G37+Hedemora!G37+Leksand!G37+Ludvika!G37+'Malung-Sälen'!G37+Mora!G37+Orsa!G37+Rättvik!G37+Smedjebacken!G37+Säter!G37+Vansbro!G37+Älvdalen!G37</f>
        <v>673852.66666666663</v>
      </c>
      <c r="H37" s="78">
        <f>Avesta!H37+Borlänge!H37+Falun!H37+Gagnef!H37+Hedemora!H37+Leksand!H37+Ludvika!H37+'Malung-Sälen'!H37+Mora!H37+Orsa!H37+Rättvik!H37+Smedjebacken!H37+Säter!H37+Vansbro!H37+Älvdalen!H37</f>
        <v>0</v>
      </c>
      <c r="I37" s="173">
        <f>Avesta!I37+Borlänge!I37+Falun!I37+Gagnef!I37+Hedemora!I37+Leksand!I37+Ludvika!I37+'Malung-Sälen'!I37+Mora!I37+Orsa!I37+Rättvik!I37+Smedjebacken!I37+Säter!I37+Vansbro!I37+Älvdalen!I37</f>
        <v>220289</v>
      </c>
      <c r="J37" s="78">
        <f>Avesta!J37+Borlänge!J37+Falun!J37+Gagnef!J37+Hedemora!J37+Leksand!J37+Ludvika!J37+'Malung-Sälen'!J37+Mora!J37+Orsa!J37+Rättvik!J37+Smedjebacken!J37+Säter!J37+Vansbro!J37+Älvdalen!J37</f>
        <v>1019487</v>
      </c>
      <c r="K37" s="80">
        <f t="shared" si="11"/>
        <v>1927280.25</v>
      </c>
      <c r="L37" s="77"/>
      <c r="R37" s="24" t="s">
        <v>151</v>
      </c>
      <c r="S37" s="67">
        <f>K16-J16</f>
        <v>4763.0919587629032</v>
      </c>
      <c r="T37" s="132">
        <f t="shared" si="10"/>
        <v>4.763091958762903</v>
      </c>
    </row>
    <row r="38" spans="2:39" x14ac:dyDescent="0.25">
      <c r="B38" s="19" t="s">
        <v>41</v>
      </c>
      <c r="C38" s="78">
        <f>Avesta!C38+Borlänge!C38+Falun!C38+Gagnef!C38+Hedemora!C38+Leksand!C38+Ludvika!C38+'Malung-Sälen'!C38+Mora!C38+Orsa!C38+Rättvik!C38+Smedjebacken!C38+Säter!C38+Vansbro!C38+Älvdalen!C38</f>
        <v>540</v>
      </c>
      <c r="D38" s="78">
        <f>Avesta!D38+Borlänge!D38+Falun!D38+Gagnef!D38+Hedemora!D38+Leksand!D38+Ludvika!D38+'Malung-Sälen'!D38+Mora!D38+Orsa!D38+Rättvik!D38+Smedjebacken!D38+Säter!D38+Vansbro!D38+Älvdalen!D38</f>
        <v>0</v>
      </c>
      <c r="E38" s="78">
        <f>Avesta!E38+Borlänge!E38+Falun!E38+Gagnef!E38+Hedemora!E38+Leksand!E38+Ludvika!E38+'Malung-Sälen'!E38+Mora!E38+Orsa!E38+Rättvik!E38+Smedjebacken!E38+Säter!E38+Vansbro!E38+Älvdalen!E38</f>
        <v>0</v>
      </c>
      <c r="F38" s="78">
        <f>Avesta!F38+Borlänge!F38+Falun!F38+Gagnef!F38+Hedemora!F38+Leksand!F38+Ludvika!F38+'Malung-Sälen'!F38+Mora!F38+Orsa!F38+Rättvik!F38+Smedjebacken!F38+Säter!F38+Vansbro!F38+Älvdalen!F38</f>
        <v>0</v>
      </c>
      <c r="G38" s="78">
        <f>Avesta!G38+Borlänge!G38+Falun!G38+Gagnef!G38+Hedemora!G38+Leksand!G38+Ludvika!G38+'Malung-Sälen'!G38+Mora!G38+Orsa!G38+Rättvik!G38+Smedjebacken!G38+Säter!G38+Vansbro!G38+Älvdalen!G38</f>
        <v>0</v>
      </c>
      <c r="H38" s="78">
        <f>Avesta!H38+Borlänge!H38+Falun!H38+Gagnef!H38+Hedemora!H38+Leksand!H38+Ludvika!H38+'Malung-Sälen'!H38+Mora!H38+Orsa!H38+Rättvik!H38+Smedjebacken!H38+Säter!H38+Vansbro!H38+Älvdalen!H38</f>
        <v>0</v>
      </c>
      <c r="I38" s="173">
        <f>Avesta!I38+Borlänge!I38+Falun!I38+Gagnef!I38+Hedemora!I38+Leksand!I38+Ludvika!I38+'Malung-Sälen'!I38+Mora!I38+Orsa!I38+Rättvik!I38+Smedjebacken!I38+Säter!I38+Vansbro!I38+Älvdalen!I38</f>
        <v>565300</v>
      </c>
      <c r="J38" s="78">
        <f>Avesta!J38+Borlänge!J38+Falun!J38+Gagnef!J38+Hedemora!J38+Leksand!J38+Ludvika!J38+'Malung-Sälen'!J38+Mora!J38+Orsa!J38+Rättvik!J38+Smedjebacken!J38+Säter!J38+Vansbro!J38+Älvdalen!J38</f>
        <v>142062</v>
      </c>
      <c r="K38" s="175">
        <f t="shared" si="11"/>
        <v>707902</v>
      </c>
      <c r="L38" s="108"/>
      <c r="N38" s="6"/>
      <c r="O38" s="6"/>
      <c r="P38" s="6"/>
      <c r="Q38" s="6"/>
      <c r="R38" s="125" t="s">
        <v>121</v>
      </c>
      <c r="S38" s="133">
        <f>SUM(S30:S37)</f>
        <v>1038885.3710880165</v>
      </c>
      <c r="T38" s="134">
        <f>SUM(T30:T37)</f>
        <v>1038.8853710880169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2:39" x14ac:dyDescent="0.25">
      <c r="B39" s="19" t="s">
        <v>42</v>
      </c>
      <c r="C39" s="78">
        <f>Avesta!C39+Borlänge!C39+Falun!C39+Gagnef!C39+Hedemora!C39+Leksand!C39+Ludvika!C39+'Malung-Sälen'!C39+Mora!C39+Orsa!C39+Rättvik!C39+Smedjebacken!C39+Säter!C39+Vansbro!C39+Älvdalen!C39</f>
        <v>0</v>
      </c>
      <c r="D39" s="78">
        <f>Avesta!D39+Borlänge!D39+Falun!D39+Gagnef!D39+Hedemora!D39+Leksand!D39+Ludvika!D39+'Malung-Sälen'!D39+Mora!D39+Orsa!D39+Rättvik!D39+Smedjebacken!D39+Säter!D39+Vansbro!D39+Älvdalen!D39</f>
        <v>0</v>
      </c>
      <c r="E39" s="78">
        <f>Avesta!E39+Borlänge!E39+Falun!E39+Gagnef!E39+Hedemora!E39+Leksand!E39+Ludvika!E39+'Malung-Sälen'!E39+Mora!E39+Orsa!E39+Rättvik!E39+Smedjebacken!E39+Säter!E39+Vansbro!E39+Älvdalen!E39</f>
        <v>0</v>
      </c>
      <c r="F39" s="78">
        <f>Avesta!F39+Borlänge!F39+Falun!F39+Gagnef!F39+Hedemora!F39+Leksand!F39+Ludvika!F39+'Malung-Sälen'!F39+Mora!F39+Orsa!F39+Rättvik!F39+Smedjebacken!F39+Säter!F39+Vansbro!F39+Älvdalen!F39</f>
        <v>0</v>
      </c>
      <c r="G39" s="78">
        <f>Avesta!G39+Borlänge!G39+Falun!G39+Gagnef!G39+Hedemora!G39+Leksand!G39+Ludvika!G39+'Malung-Sälen'!G39+Mora!G39+Orsa!G39+Rättvik!G39+Smedjebacken!G39+Säter!G39+Vansbro!G39+Älvdalen!G39</f>
        <v>0</v>
      </c>
      <c r="H39" s="78">
        <f>Avesta!H39+Borlänge!H39+Falun!H39+Gagnef!H39+Hedemora!H39+Leksand!H39+Ludvika!H39+'Malung-Sälen'!H39+Mora!H39+Orsa!H39+Rättvik!H39+Smedjebacken!H39+Säter!H39+Vansbro!H39+Älvdalen!H39</f>
        <v>0</v>
      </c>
      <c r="I39" s="78">
        <f>Avesta!I39+Borlänge!I39+Falun!I39+Gagnef!I39+Hedemora!I39+Leksand!I39+Ludvika!I39+'Malung-Sälen'!I39+Mora!I39+Orsa!I39+Rättvik!I39+Smedjebacken!I39+Säter!I39+Vansbro!I39+Älvdalen!I39</f>
        <v>0</v>
      </c>
      <c r="J39" s="78">
        <f>Avesta!J39+Borlänge!J39+Falun!J39+Gagnef!J39+Hedemora!J39+Leksand!J39+Ludvika!J39+'Malung-Sälen'!J39+Mora!J39+Orsa!J39+Rättvik!J39+Smedjebacken!J39+Säter!J39+Vansbro!J39+Älvdalen!J39</f>
        <v>202986</v>
      </c>
      <c r="K39" s="80">
        <f t="shared" si="11"/>
        <v>202986</v>
      </c>
      <c r="L39" s="77"/>
      <c r="R39" s="125" t="s">
        <v>122</v>
      </c>
      <c r="S39"/>
      <c r="T39" s="58">
        <f>T28+T38+T21</f>
        <v>17186.197259976907</v>
      </c>
      <c r="U39"/>
    </row>
    <row r="40" spans="2:39" x14ac:dyDescent="0.25">
      <c r="B40" s="19" t="s">
        <v>43</v>
      </c>
      <c r="C40" s="74">
        <f>SUM(C32:C39)</f>
        <v>3859555.6111111115</v>
      </c>
      <c r="D40" s="174">
        <f t="shared" ref="D40:J40" si="12">SUM(D32:D39)</f>
        <v>184314.5</v>
      </c>
      <c r="E40" s="72">
        <f t="shared" si="12"/>
        <v>932800.02777777775</v>
      </c>
      <c r="F40" s="72">
        <f t="shared" si="12"/>
        <v>282088</v>
      </c>
      <c r="G40" s="71">
        <f t="shared" si="12"/>
        <v>1853669.8166666664</v>
      </c>
      <c r="H40" s="72">
        <f t="shared" si="12"/>
        <v>16900</v>
      </c>
      <c r="I40" s="174">
        <f t="shared" si="12"/>
        <v>1474296</v>
      </c>
      <c r="J40" s="174">
        <f t="shared" si="12"/>
        <v>7543687.9333333336</v>
      </c>
      <c r="K40" s="80">
        <f t="shared" si="11"/>
        <v>16147311.888888888</v>
      </c>
      <c r="L40" s="77"/>
      <c r="R40" s="1" t="s">
        <v>123</v>
      </c>
      <c r="S40"/>
      <c r="T40" s="135">
        <f>T19-T39</f>
        <v>343.10924779381457</v>
      </c>
      <c r="U40" s="136"/>
    </row>
    <row r="41" spans="2:39" x14ac:dyDescent="0.25">
      <c r="B41" s="19" t="s">
        <v>44</v>
      </c>
      <c r="C41" s="72">
        <f>SUM(C37:C39)</f>
        <v>14191.583333333334</v>
      </c>
      <c r="D41" s="72">
        <f t="shared" ref="D41:K41" si="13">SUM(D37:D39)</f>
        <v>0</v>
      </c>
      <c r="E41" s="72">
        <f t="shared" si="13"/>
        <v>0</v>
      </c>
      <c r="F41" s="72">
        <f t="shared" si="13"/>
        <v>0</v>
      </c>
      <c r="G41" s="72">
        <f t="shared" si="13"/>
        <v>673852.66666666663</v>
      </c>
      <c r="H41" s="72">
        <f t="shared" si="13"/>
        <v>0</v>
      </c>
      <c r="I41" s="72">
        <f t="shared" si="13"/>
        <v>785589</v>
      </c>
      <c r="J41" s="72">
        <f t="shared" si="13"/>
        <v>1364535</v>
      </c>
      <c r="K41" s="72">
        <f t="shared" si="13"/>
        <v>2838168.25</v>
      </c>
      <c r="L41" s="77"/>
    </row>
    <row r="42" spans="2:39" x14ac:dyDescent="0.25">
      <c r="B42" s="24"/>
      <c r="C42" s="20"/>
      <c r="D42" s="20"/>
      <c r="E42" s="20"/>
      <c r="F42" s="20"/>
      <c r="G42" s="20"/>
      <c r="H42" s="20"/>
      <c r="I42" s="20"/>
      <c r="J42" s="20"/>
      <c r="K42" s="25"/>
      <c r="L42" s="34"/>
    </row>
    <row r="43" spans="2:39" ht="15.75" thickBot="1" x14ac:dyDescent="0.3">
      <c r="B43" s="43"/>
      <c r="C43" s="44"/>
      <c r="D43" s="44"/>
      <c r="E43" s="44"/>
      <c r="F43" s="44"/>
      <c r="G43" s="44"/>
      <c r="H43" s="44"/>
      <c r="I43" s="44"/>
      <c r="J43" s="44"/>
      <c r="K43" s="45"/>
    </row>
    <row r="46" spans="2:39" x14ac:dyDescent="0.25">
      <c r="N46"/>
      <c r="O46" t="s">
        <v>86</v>
      </c>
      <c r="P46" t="s">
        <v>87</v>
      </c>
      <c r="Q46" t="s">
        <v>88</v>
      </c>
      <c r="R46" t="s">
        <v>89</v>
      </c>
      <c r="S46" t="s">
        <v>90</v>
      </c>
      <c r="T46" s="6"/>
      <c r="U46" s="6"/>
    </row>
    <row r="47" spans="2:39" x14ac:dyDescent="0.25">
      <c r="N47" t="s">
        <v>101</v>
      </c>
      <c r="O47">
        <v>12</v>
      </c>
      <c r="P47">
        <v>10400</v>
      </c>
      <c r="Q47">
        <v>15</v>
      </c>
      <c r="R47">
        <v>1.9</v>
      </c>
      <c r="S47">
        <v>16.899999999999999</v>
      </c>
      <c r="T47" s="6" t="s">
        <v>48</v>
      </c>
      <c r="U47" s="6"/>
    </row>
    <row r="48" spans="2:39" x14ac:dyDescent="0.25">
      <c r="N48" s="6"/>
      <c r="O48" s="6"/>
      <c r="P48" s="6"/>
      <c r="Q48" s="6"/>
      <c r="R48" s="6"/>
      <c r="S48" s="6"/>
      <c r="T48" s="6"/>
      <c r="U48" s="6"/>
    </row>
    <row r="49" spans="4:21" x14ac:dyDescent="0.25">
      <c r="D49" s="34"/>
      <c r="E49" s="34"/>
      <c r="F49" s="34"/>
      <c r="I49" s="30"/>
      <c r="J49" s="30"/>
      <c r="K49" s="30"/>
      <c r="L49" s="34"/>
      <c r="N49" s="6"/>
      <c r="O49" s="6"/>
      <c r="P49" s="6"/>
      <c r="Q49" s="6"/>
      <c r="R49" s="6"/>
      <c r="S49" s="6"/>
      <c r="T49" s="6"/>
      <c r="U49" s="6"/>
    </row>
    <row r="50" spans="4:21" x14ac:dyDescent="0.25">
      <c r="D50" s="34"/>
      <c r="E50" s="34"/>
      <c r="F50" s="34"/>
      <c r="J50" s="34"/>
      <c r="L50" s="34"/>
      <c r="N50" s="6" t="s">
        <v>91</v>
      </c>
      <c r="O50" s="6">
        <v>0</v>
      </c>
      <c r="P50" s="6" t="s">
        <v>92</v>
      </c>
      <c r="Q50" t="s">
        <v>95</v>
      </c>
      <c r="R50" s="6"/>
      <c r="S50" s="6"/>
      <c r="T50" s="6"/>
      <c r="U50" s="6"/>
    </row>
    <row r="51" spans="4:21" x14ac:dyDescent="0.25">
      <c r="D51" s="34"/>
      <c r="E51" s="34"/>
      <c r="F51" s="34"/>
      <c r="J51" s="30"/>
      <c r="L51" s="30"/>
      <c r="M51" s="30"/>
      <c r="N51" s="6" t="s">
        <v>94</v>
      </c>
      <c r="O51" s="6">
        <f>O50-O52</f>
        <v>0</v>
      </c>
      <c r="P51" s="6" t="s">
        <v>92</v>
      </c>
      <c r="Q51" s="6"/>
      <c r="R51" s="6"/>
      <c r="S51" s="6"/>
      <c r="T51" s="6"/>
      <c r="U51" s="6"/>
    </row>
    <row r="52" spans="4:21" x14ac:dyDescent="0.25">
      <c r="D52" s="34"/>
      <c r="E52" s="34"/>
      <c r="F52" s="34"/>
      <c r="N52" s="7" t="s">
        <v>93</v>
      </c>
      <c r="O52" s="7">
        <f>O50*0.56</f>
        <v>0</v>
      </c>
      <c r="P52" s="6" t="s">
        <v>92</v>
      </c>
      <c r="Q52" s="6"/>
      <c r="R52" s="6"/>
      <c r="S52" s="6"/>
      <c r="T52" s="6"/>
      <c r="U52" s="6"/>
    </row>
    <row r="53" spans="4:21" x14ac:dyDescent="0.25">
      <c r="D53" s="34"/>
      <c r="E53" s="34"/>
      <c r="F53" s="34"/>
      <c r="N53" s="7"/>
      <c r="O53" s="7"/>
      <c r="P53" s="6"/>
      <c r="Q53" s="6"/>
      <c r="R53" s="6"/>
      <c r="S53" s="6"/>
      <c r="T53" s="6"/>
      <c r="U53" s="6"/>
    </row>
    <row r="54" spans="4:21" x14ac:dyDescent="0.25">
      <c r="D54" s="30"/>
    </row>
    <row r="56" spans="4:21" x14ac:dyDescent="0.25">
      <c r="D56" s="30"/>
      <c r="E56" s="30"/>
      <c r="F56" s="30"/>
      <c r="G56" s="30"/>
    </row>
    <row r="57" spans="4:21" x14ac:dyDescent="0.25">
      <c r="G57" s="30"/>
    </row>
  </sheetData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3"/>
  <sheetViews>
    <sheetView zoomScale="60" zoomScaleNormal="60" workbookViewId="0">
      <selection activeCell="J28" sqref="J28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4.85546875" style="1" bestFit="1" customWidth="1"/>
    <col min="4" max="5" width="9.28515625" style="1" bestFit="1" customWidth="1"/>
    <col min="6" max="6" width="13.5703125" style="1" bestFit="1" customWidth="1"/>
    <col min="7" max="7" width="14.85546875" style="1" bestFit="1" customWidth="1"/>
    <col min="8" max="8" width="9.28515625" style="1" bestFit="1" customWidth="1"/>
    <col min="9" max="9" width="27.140625" style="1" customWidth="1"/>
    <col min="10" max="10" width="17.7109375" style="1" customWidth="1"/>
    <col min="11" max="11" width="20.42578125" style="1" customWidth="1"/>
    <col min="12" max="12" width="21.85546875" style="1" customWidth="1"/>
    <col min="13" max="13" width="25.5703125" style="1" customWidth="1"/>
    <col min="14" max="14" width="9.140625" style="1"/>
    <col min="15" max="15" width="10.7109375" style="1" bestFit="1" customWidth="1"/>
    <col min="16" max="17" width="9.140625" style="1"/>
    <col min="18" max="18" width="39" style="1" bestFit="1" customWidth="1"/>
    <col min="19" max="19" width="13" style="1" bestFit="1" customWidth="1"/>
    <col min="20" max="16384" width="9.140625" style="1"/>
  </cols>
  <sheetData>
    <row r="1" spans="2:22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4"/>
      <c r="I1" s="5" t="s">
        <v>2</v>
      </c>
      <c r="J1" s="5" t="s">
        <v>3</v>
      </c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1"/>
    </row>
    <row r="2" spans="2:22" s="7" customFormat="1" ht="60" x14ac:dyDescent="0.25">
      <c r="B2" s="8"/>
      <c r="C2" s="9" t="s">
        <v>58</v>
      </c>
      <c r="D2" s="9" t="s">
        <v>53</v>
      </c>
      <c r="E2" s="9" t="s">
        <v>56</v>
      </c>
      <c r="F2" s="10" t="s">
        <v>57</v>
      </c>
      <c r="G2" s="10" t="s">
        <v>102</v>
      </c>
      <c r="H2" s="10" t="s">
        <v>25</v>
      </c>
      <c r="I2" s="11" t="s">
        <v>4</v>
      </c>
      <c r="J2" s="11" t="s">
        <v>5</v>
      </c>
      <c r="L2" s="12" t="s">
        <v>6</v>
      </c>
      <c r="M2" s="13"/>
      <c r="N2" s="6"/>
      <c r="O2" s="6"/>
      <c r="P2" s="6"/>
      <c r="Q2" s="6"/>
      <c r="R2" s="6"/>
      <c r="S2" s="6"/>
      <c r="T2" s="6"/>
      <c r="U2" s="6"/>
      <c r="V2" s="1"/>
    </row>
    <row r="3" spans="2:22" s="7" customFormat="1" x14ac:dyDescent="0.25">
      <c r="B3" s="14" t="s">
        <v>7</v>
      </c>
      <c r="C3" s="15"/>
      <c r="D3" s="15"/>
      <c r="E3" s="15"/>
      <c r="F3" s="15"/>
      <c r="G3" s="15"/>
      <c r="H3" s="15"/>
      <c r="I3" s="16"/>
      <c r="J3" s="16"/>
      <c r="K3" s="17"/>
      <c r="L3" s="18"/>
      <c r="M3" s="1"/>
      <c r="N3" s="6"/>
      <c r="O3" s="6"/>
      <c r="P3" s="6"/>
      <c r="Q3" s="6"/>
      <c r="T3" s="7" t="s">
        <v>48</v>
      </c>
      <c r="V3" s="1"/>
    </row>
    <row r="4" spans="2:22" s="7" customFormat="1" x14ac:dyDescent="0.25">
      <c r="B4" s="19" t="s">
        <v>8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f>SUM(C4:H4)</f>
        <v>0</v>
      </c>
      <c r="J4" s="78">
        <v>0</v>
      </c>
      <c r="K4" s="137">
        <f>J4/(J4+J5)</f>
        <v>0</v>
      </c>
      <c r="L4" s="80">
        <f>I4-J4</f>
        <v>0</v>
      </c>
      <c r="M4" s="1"/>
      <c r="N4" s="6"/>
      <c r="O4" s="6"/>
      <c r="P4" s="6"/>
      <c r="Q4" s="6"/>
      <c r="R4" s="49" t="s">
        <v>103</v>
      </c>
      <c r="S4" s="21">
        <f>K20</f>
        <v>124590.55645161291</v>
      </c>
      <c r="T4" s="123">
        <f>S4/1000</f>
        <v>124.59055645161291</v>
      </c>
      <c r="U4" s="124"/>
      <c r="V4" s="1"/>
    </row>
    <row r="5" spans="2:22" s="7" customFormat="1" x14ac:dyDescent="0.25">
      <c r="B5" s="19" t="s">
        <v>9</v>
      </c>
      <c r="C5" s="77">
        <v>129</v>
      </c>
      <c r="D5" s="77">
        <v>0</v>
      </c>
      <c r="E5" s="77">
        <v>0</v>
      </c>
      <c r="F5" s="77">
        <v>0</v>
      </c>
      <c r="G5" s="77">
        <v>23775</v>
      </c>
      <c r="H5" s="77">
        <v>0</v>
      </c>
      <c r="I5" s="77">
        <f t="shared" ref="I5:I10" si="0">SUM(C5:H5)</f>
        <v>23904</v>
      </c>
      <c r="J5" s="78">
        <v>23127</v>
      </c>
      <c r="K5" s="137">
        <f>J5/(J4+J5)</f>
        <v>1</v>
      </c>
      <c r="L5" s="80">
        <f>I5-J5</f>
        <v>777</v>
      </c>
      <c r="M5" s="1"/>
      <c r="N5" s="6"/>
      <c r="O5" s="6"/>
      <c r="P5" s="6"/>
      <c r="Q5" s="6"/>
      <c r="R5" s="7" t="s">
        <v>104</v>
      </c>
      <c r="S5" s="21">
        <f>IF(J28&gt;0,0,J28)*-1</f>
        <v>180884.44</v>
      </c>
      <c r="T5" s="123">
        <f>S5/1000</f>
        <v>180.88444000000001</v>
      </c>
      <c r="V5" s="1"/>
    </row>
    <row r="6" spans="2:22" s="7" customFormat="1" x14ac:dyDescent="0.25">
      <c r="B6" s="19" t="s">
        <v>10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f t="shared" si="0"/>
        <v>0</v>
      </c>
      <c r="J6" s="78">
        <v>0</v>
      </c>
      <c r="K6" s="79"/>
      <c r="L6" s="80"/>
      <c r="M6" s="1"/>
      <c r="N6" s="6"/>
      <c r="O6" s="6"/>
      <c r="P6" s="6"/>
      <c r="Q6" s="6"/>
      <c r="R6" s="49" t="s">
        <v>50</v>
      </c>
      <c r="S6" s="123">
        <f>G10+G20+G40</f>
        <v>149989</v>
      </c>
      <c r="T6" s="123">
        <f>S6/1000</f>
        <v>149.989</v>
      </c>
      <c r="U6" s="124"/>
      <c r="V6" s="1"/>
    </row>
    <row r="7" spans="2:22" s="7" customFormat="1" x14ac:dyDescent="0.25">
      <c r="B7" s="19" t="s">
        <v>11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f t="shared" si="0"/>
        <v>0</v>
      </c>
      <c r="J7" s="78">
        <v>0</v>
      </c>
      <c r="K7" s="79"/>
      <c r="L7" s="80"/>
      <c r="M7" s="1"/>
      <c r="N7" s="6"/>
      <c r="O7" s="6"/>
      <c r="P7" s="6"/>
      <c r="Q7" s="6"/>
      <c r="R7" s="49" t="s">
        <v>53</v>
      </c>
      <c r="S7" s="123">
        <f>D10+D20</f>
        <v>0</v>
      </c>
      <c r="T7" s="123">
        <f t="shared" ref="T7:T14" si="1">S7/1000</f>
        <v>0</v>
      </c>
      <c r="U7" s="124"/>
      <c r="V7" s="1"/>
    </row>
    <row r="8" spans="2:22" s="7" customFormat="1" x14ac:dyDescent="0.25">
      <c r="B8" s="19" t="s">
        <v>12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f t="shared" si="0"/>
        <v>0</v>
      </c>
      <c r="J8" s="78">
        <v>0</v>
      </c>
      <c r="K8" s="79"/>
      <c r="L8" s="80"/>
      <c r="M8" s="1"/>
      <c r="N8" s="6"/>
      <c r="O8" s="6"/>
      <c r="P8" s="6"/>
      <c r="Q8" s="6"/>
      <c r="S8" s="123"/>
      <c r="T8" s="123">
        <f t="shared" si="1"/>
        <v>0</v>
      </c>
      <c r="U8" s="124"/>
      <c r="V8" s="1"/>
    </row>
    <row r="9" spans="2:22" s="7" customFormat="1" x14ac:dyDescent="0.25">
      <c r="B9" s="19" t="s">
        <v>13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f t="shared" si="0"/>
        <v>0</v>
      </c>
      <c r="J9" s="78">
        <v>3114</v>
      </c>
      <c r="K9" s="79"/>
      <c r="L9" s="80"/>
      <c r="M9" s="1"/>
      <c r="N9" s="6"/>
      <c r="O9" s="6"/>
      <c r="P9" s="6"/>
      <c r="Q9" s="6"/>
      <c r="R9" s="125" t="s">
        <v>105</v>
      </c>
      <c r="S9" s="123"/>
      <c r="T9" s="123">
        <f t="shared" si="1"/>
        <v>0</v>
      </c>
      <c r="U9" s="124"/>
      <c r="V9" s="1"/>
    </row>
    <row r="10" spans="2:22" s="7" customFormat="1" x14ac:dyDescent="0.25">
      <c r="B10" s="19" t="s">
        <v>14</v>
      </c>
      <c r="C10" s="78">
        <f t="shared" ref="C10:J10" si="2">SUM(C4:C9)</f>
        <v>129</v>
      </c>
      <c r="D10" s="78">
        <f t="shared" si="2"/>
        <v>0</v>
      </c>
      <c r="E10" s="78">
        <f t="shared" si="2"/>
        <v>0</v>
      </c>
      <c r="F10" s="78">
        <f t="shared" si="2"/>
        <v>0</v>
      </c>
      <c r="G10" s="78">
        <f t="shared" si="2"/>
        <v>23775</v>
      </c>
      <c r="H10" s="78">
        <f t="shared" si="2"/>
        <v>0</v>
      </c>
      <c r="I10" s="77">
        <f t="shared" si="0"/>
        <v>23904</v>
      </c>
      <c r="J10" s="78">
        <f t="shared" si="2"/>
        <v>26241</v>
      </c>
      <c r="K10" s="79"/>
      <c r="L10" s="80">
        <f>SUM(L4:L9)</f>
        <v>777</v>
      </c>
      <c r="M10" s="1"/>
      <c r="N10" s="6"/>
      <c r="O10" s="6"/>
      <c r="P10" s="6"/>
      <c r="Q10" s="6"/>
      <c r="R10" s="49" t="s">
        <v>55</v>
      </c>
      <c r="S10" s="123"/>
      <c r="T10" s="123">
        <f t="shared" si="1"/>
        <v>0</v>
      </c>
      <c r="U10" s="124"/>
      <c r="V10" s="1"/>
    </row>
    <row r="11" spans="2:22" s="7" customFormat="1" x14ac:dyDescent="0.25">
      <c r="B11" s="22"/>
      <c r="C11" s="83"/>
      <c r="D11" s="83"/>
      <c r="E11" s="83"/>
      <c r="F11" s="83"/>
      <c r="G11" s="83"/>
      <c r="H11" s="83"/>
      <c r="I11" s="83"/>
      <c r="J11" s="83"/>
      <c r="K11" s="84"/>
      <c r="L11" s="85"/>
      <c r="M11" s="1"/>
      <c r="N11" s="6"/>
      <c r="O11" s="6"/>
      <c r="P11" s="6"/>
      <c r="Q11" s="6"/>
      <c r="R11" s="49" t="s">
        <v>56</v>
      </c>
      <c r="S11" s="123">
        <f>E10+E20+E40</f>
        <v>0</v>
      </c>
      <c r="T11" s="123">
        <f t="shared" si="1"/>
        <v>0</v>
      </c>
      <c r="U11" s="124"/>
      <c r="V11" s="1"/>
    </row>
    <row r="12" spans="2:22" s="7" customFormat="1" x14ac:dyDescent="0.25">
      <c r="B12" s="23" t="s">
        <v>15</v>
      </c>
      <c r="C12" s="83"/>
      <c r="D12" s="83"/>
      <c r="E12" s="83"/>
      <c r="F12" s="83"/>
      <c r="G12" s="83"/>
      <c r="H12" s="83"/>
      <c r="I12" s="79"/>
      <c r="J12" s="79"/>
      <c r="K12" s="84"/>
      <c r="L12" s="85"/>
      <c r="M12" s="1"/>
      <c r="N12" s="6"/>
      <c r="O12" s="6"/>
      <c r="P12" s="6"/>
      <c r="Q12" s="6"/>
      <c r="R12" s="49" t="s">
        <v>25</v>
      </c>
      <c r="S12" s="123">
        <f>H10+H20+H40</f>
        <v>0</v>
      </c>
      <c r="T12" s="123">
        <f t="shared" si="1"/>
        <v>0</v>
      </c>
      <c r="U12" s="124"/>
      <c r="V12" s="1"/>
    </row>
    <row r="13" spans="2:22" x14ac:dyDescent="0.25">
      <c r="B13" s="24"/>
      <c r="C13" s="78"/>
      <c r="D13" s="78"/>
      <c r="E13" s="78"/>
      <c r="F13" s="78"/>
      <c r="G13" s="78"/>
      <c r="H13" s="78"/>
      <c r="I13" s="78"/>
      <c r="J13" s="78"/>
      <c r="K13" s="78"/>
      <c r="L13" s="86"/>
      <c r="M13" s="6"/>
      <c r="R13" s="49" t="s">
        <v>57</v>
      </c>
      <c r="S13" s="123">
        <f>F10+F20+F40</f>
        <v>17628</v>
      </c>
      <c r="T13" s="123">
        <f t="shared" si="1"/>
        <v>17.628</v>
      </c>
      <c r="U13" s="124"/>
    </row>
    <row r="14" spans="2:22" ht="18.75" x14ac:dyDescent="0.3">
      <c r="B14" s="26" t="s">
        <v>16</v>
      </c>
      <c r="C14" s="87"/>
      <c r="D14" s="87"/>
      <c r="E14" s="87"/>
      <c r="F14" s="87"/>
      <c r="G14" s="87"/>
      <c r="H14" s="87"/>
      <c r="I14" s="87"/>
      <c r="J14" s="88" t="s">
        <v>17</v>
      </c>
      <c r="K14" s="89" t="s">
        <v>18</v>
      </c>
      <c r="L14" s="90"/>
      <c r="M14" s="27" t="s">
        <v>19</v>
      </c>
      <c r="N14" s="28"/>
      <c r="R14" s="49" t="s">
        <v>58</v>
      </c>
      <c r="S14" s="123">
        <f>C10+C20+C40</f>
        <v>200193</v>
      </c>
      <c r="T14" s="123">
        <f t="shared" si="1"/>
        <v>200.19300000000001</v>
      </c>
      <c r="U14" s="124"/>
    </row>
    <row r="15" spans="2:22" x14ac:dyDescent="0.25">
      <c r="B15" s="19" t="s">
        <v>20</v>
      </c>
      <c r="C15" s="78">
        <v>145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f>SUM(C15:H15)</f>
        <v>145</v>
      </c>
      <c r="J15" s="78">
        <v>0</v>
      </c>
      <c r="K15" s="91">
        <f>J15/(1-M15)</f>
        <v>0</v>
      </c>
      <c r="L15" s="92">
        <f>I15-K15</f>
        <v>145</v>
      </c>
      <c r="M15" s="29">
        <v>0.03</v>
      </c>
      <c r="O15" s="30"/>
      <c r="R15" s="125" t="s">
        <v>106</v>
      </c>
      <c r="S15" s="123">
        <f>SUM(S4:S14)</f>
        <v>673284.99645161291</v>
      </c>
      <c r="T15" s="123">
        <f>SUM(T4:T14)</f>
        <v>673.28499645161298</v>
      </c>
      <c r="U15" s="124"/>
    </row>
    <row r="16" spans="2:22" x14ac:dyDescent="0.25">
      <c r="B16" s="19" t="s">
        <v>21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f t="shared" ref="I16:I20" si="3">SUM(C16:H16)</f>
        <v>0</v>
      </c>
      <c r="J16" s="78">
        <v>0</v>
      </c>
      <c r="K16" s="91">
        <f>J16/(1-M16)</f>
        <v>0</v>
      </c>
      <c r="L16" s="92">
        <f>I16-K16</f>
        <v>0</v>
      </c>
      <c r="M16" s="29">
        <v>0.03</v>
      </c>
      <c r="O16" s="30"/>
      <c r="R16" t="s">
        <v>107</v>
      </c>
      <c r="S16" s="57">
        <f>J8</f>
        <v>0</v>
      </c>
      <c r="T16" s="57">
        <f>S16/1000</f>
        <v>0</v>
      </c>
      <c r="U16" s="124"/>
    </row>
    <row r="17" spans="2:22" x14ac:dyDescent="0.25">
      <c r="B17" s="19" t="s">
        <v>22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f t="shared" si="3"/>
        <v>0</v>
      </c>
      <c r="J17" s="78">
        <v>0</v>
      </c>
      <c r="K17" s="91">
        <f>J17/(1-M17)</f>
        <v>0</v>
      </c>
      <c r="L17" s="92">
        <f>I17-K17</f>
        <v>0</v>
      </c>
      <c r="M17" s="29">
        <v>0.03</v>
      </c>
      <c r="O17" s="30"/>
      <c r="R17" t="s">
        <v>108</v>
      </c>
      <c r="S17" s="57">
        <f>J9</f>
        <v>3114</v>
      </c>
      <c r="T17" s="57">
        <f t="shared" ref="T17:T18" si="4">S17/1000</f>
        <v>3.1139999999999999</v>
      </c>
      <c r="U17" s="124"/>
      <c r="V17" s="6"/>
    </row>
    <row r="18" spans="2:22" x14ac:dyDescent="0.25">
      <c r="B18" s="19" t="s">
        <v>23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f t="shared" si="3"/>
        <v>0</v>
      </c>
      <c r="J18" s="173">
        <v>90961</v>
      </c>
      <c r="K18" s="91">
        <f>J18/(1-M18)</f>
        <v>91694.556451612909</v>
      </c>
      <c r="L18" s="92"/>
      <c r="M18" s="31">
        <v>8.0000000000000002E-3</v>
      </c>
      <c r="O18" s="30"/>
      <c r="R18" t="s">
        <v>109</v>
      </c>
      <c r="S18" s="57">
        <f>J6+J7</f>
        <v>0</v>
      </c>
      <c r="T18" s="57">
        <f t="shared" si="4"/>
        <v>0</v>
      </c>
      <c r="U18"/>
    </row>
    <row r="19" spans="2:22" ht="17.25" x14ac:dyDescent="0.4">
      <c r="B19" s="19" t="s">
        <v>24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f t="shared" si="3"/>
        <v>0</v>
      </c>
      <c r="J19" s="82">
        <v>32896</v>
      </c>
      <c r="K19" s="91">
        <f>J19/(1-M19)</f>
        <v>32896</v>
      </c>
      <c r="L19" s="92"/>
      <c r="M19" s="1">
        <v>0</v>
      </c>
      <c r="O19" s="30"/>
      <c r="R19" t="s">
        <v>110</v>
      </c>
      <c r="S19" s="57">
        <f>SUM(S15:S18)</f>
        <v>676398.99645161291</v>
      </c>
      <c r="T19" s="57">
        <f>SUM(T15:T18)</f>
        <v>676.39899645161302</v>
      </c>
      <c r="U19"/>
    </row>
    <row r="20" spans="2:22" x14ac:dyDescent="0.25">
      <c r="B20" s="19" t="s">
        <v>14</v>
      </c>
      <c r="C20" s="78">
        <f t="shared" ref="C20:H20" si="5">SUM(C15:C19)</f>
        <v>145</v>
      </c>
      <c r="D20" s="78">
        <f t="shared" si="5"/>
        <v>0</v>
      </c>
      <c r="E20" s="78">
        <f t="shared" si="5"/>
        <v>0</v>
      </c>
      <c r="F20" s="78">
        <f t="shared" si="5"/>
        <v>0</v>
      </c>
      <c r="G20" s="78">
        <f t="shared" si="5"/>
        <v>0</v>
      </c>
      <c r="H20" s="78">
        <f t="shared" si="5"/>
        <v>0</v>
      </c>
      <c r="I20" s="78">
        <f t="shared" si="3"/>
        <v>145</v>
      </c>
      <c r="J20" s="116">
        <f>SUM(J15:J19)</f>
        <v>123857</v>
      </c>
      <c r="K20" s="93">
        <f>SUM(K15:K19)</f>
        <v>124590.55645161291</v>
      </c>
      <c r="L20" s="93">
        <f>SUM(L15:L19)</f>
        <v>145</v>
      </c>
      <c r="M20" s="32"/>
      <c r="N20" s="33"/>
      <c r="O20" s="30"/>
      <c r="R20"/>
      <c r="S20"/>
      <c r="T20"/>
      <c r="U20"/>
    </row>
    <row r="21" spans="2:22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7"/>
      <c r="L21" s="86"/>
      <c r="M21" s="30"/>
      <c r="R21" s="19" t="s">
        <v>111</v>
      </c>
      <c r="S21" s="21">
        <f>IF(J28&lt;0,0,J28)</f>
        <v>0</v>
      </c>
      <c r="T21" s="123">
        <f t="shared" ref="T21:T27" si="6">S21/1000</f>
        <v>0</v>
      </c>
      <c r="U21" s="124"/>
    </row>
    <row r="22" spans="2:22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86"/>
      <c r="R22" s="19" t="s">
        <v>35</v>
      </c>
      <c r="S22" s="126">
        <f>K32</f>
        <v>2683</v>
      </c>
      <c r="T22" s="123">
        <f t="shared" si="6"/>
        <v>2.6829999999999998</v>
      </c>
      <c r="U22" s="124"/>
    </row>
    <row r="23" spans="2:22" ht="15.75" thickBot="1" x14ac:dyDescent="0.3">
      <c r="B23" s="35" t="s">
        <v>25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R23" s="19" t="s">
        <v>36</v>
      </c>
      <c r="S23" s="126">
        <f>K33</f>
        <v>143018</v>
      </c>
      <c r="T23" s="123">
        <f t="shared" si="6"/>
        <v>143.018</v>
      </c>
      <c r="U23" s="124"/>
    </row>
    <row r="24" spans="2:22" x14ac:dyDescent="0.25">
      <c r="C24" s="77"/>
      <c r="D24" s="77"/>
      <c r="E24" s="77"/>
      <c r="F24" s="77"/>
      <c r="G24" s="77"/>
      <c r="H24" s="77"/>
      <c r="I24" s="77"/>
      <c r="J24" s="77"/>
      <c r="K24" s="77"/>
      <c r="L24" s="77"/>
      <c r="R24" s="19" t="s">
        <v>37</v>
      </c>
      <c r="S24" s="126">
        <f>K34</f>
        <v>60874</v>
      </c>
      <c r="T24" s="123">
        <f t="shared" si="6"/>
        <v>60.874000000000002</v>
      </c>
      <c r="U24" s="124"/>
    </row>
    <row r="25" spans="2:22" ht="15.75" thickBot="1" x14ac:dyDescent="0.3">
      <c r="C25" s="77"/>
      <c r="D25" s="77"/>
      <c r="E25" s="77"/>
      <c r="F25" s="77"/>
      <c r="G25" s="77"/>
      <c r="H25" s="77"/>
      <c r="I25" s="77"/>
      <c r="J25" s="77"/>
      <c r="K25" s="77"/>
      <c r="L25" s="77"/>
      <c r="R25" s="19" t="s">
        <v>38</v>
      </c>
      <c r="S25" s="126">
        <f>K35</f>
        <v>206169</v>
      </c>
      <c r="T25" s="123">
        <f t="shared" si="6"/>
        <v>206.16900000000001</v>
      </c>
      <c r="U25" s="124"/>
    </row>
    <row r="26" spans="2:22" x14ac:dyDescent="0.25">
      <c r="B26" s="8"/>
      <c r="C26" s="96"/>
      <c r="D26" s="96"/>
      <c r="E26" s="96"/>
      <c r="F26" s="96"/>
      <c r="G26" s="96"/>
      <c r="H26" s="77"/>
      <c r="I26" s="97" t="s">
        <v>26</v>
      </c>
      <c r="J26" s="98" t="s">
        <v>27</v>
      </c>
      <c r="K26" s="77"/>
      <c r="L26" s="77"/>
      <c r="M26" s="38" t="s">
        <v>28</v>
      </c>
      <c r="R26" s="19" t="s">
        <v>39</v>
      </c>
      <c r="S26" s="126">
        <f>K36</f>
        <v>52595</v>
      </c>
      <c r="T26" s="123">
        <f t="shared" si="6"/>
        <v>52.594999999999999</v>
      </c>
      <c r="U26" s="124"/>
    </row>
    <row r="27" spans="2:22" x14ac:dyDescent="0.25">
      <c r="B27" s="39" t="s">
        <v>29</v>
      </c>
      <c r="C27" s="78"/>
      <c r="D27" s="78"/>
      <c r="E27" s="78"/>
      <c r="F27" s="78"/>
      <c r="G27" s="78"/>
      <c r="H27" s="77"/>
      <c r="I27" s="72">
        <f>J10-I40</f>
        <v>2846</v>
      </c>
      <c r="J27" s="80">
        <f>J40*8%</f>
        <v>22573.439999999999</v>
      </c>
      <c r="K27" s="77"/>
      <c r="L27" s="77"/>
      <c r="M27" s="40">
        <f>100-(I40/J10*100)</f>
        <v>10.845623261308631</v>
      </c>
      <c r="R27" s="19" t="s">
        <v>44</v>
      </c>
      <c r="S27" s="126">
        <f>K41</f>
        <v>183985</v>
      </c>
      <c r="T27" s="123">
        <f t="shared" si="6"/>
        <v>183.98500000000001</v>
      </c>
      <c r="U27" s="124"/>
    </row>
    <row r="28" spans="2:22" ht="15.75" thickBot="1" x14ac:dyDescent="0.3">
      <c r="B28" s="35" t="s">
        <v>30</v>
      </c>
      <c r="C28" s="94"/>
      <c r="D28" s="94"/>
      <c r="E28" s="94"/>
      <c r="F28" s="94"/>
      <c r="G28" s="94"/>
      <c r="H28" s="94"/>
      <c r="I28" s="99">
        <f>I40+I27-J10</f>
        <v>0</v>
      </c>
      <c r="J28" s="122">
        <f>J20-J27-J40</f>
        <v>-180884.44</v>
      </c>
      <c r="K28" s="77"/>
      <c r="L28" s="77"/>
      <c r="M28" s="1" t="str">
        <f>IF(M27&gt;10,"OBS! HÖGA FÖRLUSTER","OK")</f>
        <v>OBS! HÖGA FÖRLUSTER</v>
      </c>
      <c r="R28" s="19" t="s">
        <v>112</v>
      </c>
      <c r="S28" s="58">
        <f>SUM(S22:S27)</f>
        <v>649324</v>
      </c>
      <c r="T28" s="58">
        <f>SUM(T22:T27)</f>
        <v>649.32400000000007</v>
      </c>
      <c r="U28" s="124"/>
    </row>
    <row r="29" spans="2:22" ht="15.75" thickBot="1" x14ac:dyDescent="0.3">
      <c r="C29" s="77"/>
      <c r="D29" s="77"/>
      <c r="E29" s="77"/>
      <c r="F29" s="77"/>
      <c r="G29" s="77"/>
      <c r="H29" s="77"/>
      <c r="I29" s="77"/>
      <c r="J29" s="77"/>
      <c r="K29" s="77"/>
      <c r="L29" s="77"/>
      <c r="R29" s="127" t="s">
        <v>113</v>
      </c>
      <c r="S29" s="128"/>
      <c r="T29" s="129">
        <f t="shared" ref="T29:T36" si="7">S29/1000</f>
        <v>0</v>
      </c>
      <c r="U29" s="48"/>
    </row>
    <row r="30" spans="2:22" ht="15.75" thickBot="1" x14ac:dyDescent="0.3">
      <c r="B30" s="8"/>
      <c r="C30" s="100" t="s">
        <v>0</v>
      </c>
      <c r="D30" s="100"/>
      <c r="E30" s="100"/>
      <c r="F30" s="100" t="s">
        <v>1</v>
      </c>
      <c r="G30" s="100"/>
      <c r="H30" s="96"/>
      <c r="I30" s="96"/>
      <c r="J30" s="96"/>
      <c r="K30" s="101"/>
      <c r="L30" s="77"/>
      <c r="R30" s="49" t="s">
        <v>114</v>
      </c>
      <c r="S30" s="50">
        <f>J27</f>
        <v>22573.439999999999</v>
      </c>
      <c r="T30" s="130">
        <f t="shared" si="7"/>
        <v>22.573439999999998</v>
      </c>
      <c r="U30" s="53"/>
    </row>
    <row r="31" spans="2:22" ht="30" x14ac:dyDescent="0.25">
      <c r="B31" s="41" t="s">
        <v>31</v>
      </c>
      <c r="C31" s="102" t="s">
        <v>58</v>
      </c>
      <c r="D31" s="102" t="s">
        <v>53</v>
      </c>
      <c r="E31" s="102" t="s">
        <v>56</v>
      </c>
      <c r="F31" s="103" t="s">
        <v>57</v>
      </c>
      <c r="G31" s="103" t="s">
        <v>102</v>
      </c>
      <c r="H31" s="103" t="s">
        <v>25</v>
      </c>
      <c r="I31" s="104" t="s">
        <v>32</v>
      </c>
      <c r="J31" s="104" t="s">
        <v>33</v>
      </c>
      <c r="K31" s="105" t="s">
        <v>34</v>
      </c>
      <c r="L31" s="77"/>
      <c r="R31" s="49" t="s">
        <v>115</v>
      </c>
      <c r="S31" s="50">
        <f>I27</f>
        <v>2846</v>
      </c>
      <c r="T31" s="130">
        <f t="shared" si="7"/>
        <v>2.8460000000000001</v>
      </c>
      <c r="U31" s="53"/>
    </row>
    <row r="32" spans="2:22" x14ac:dyDescent="0.25">
      <c r="B32" s="19" t="s">
        <v>35</v>
      </c>
      <c r="C32" s="78">
        <v>1798</v>
      </c>
      <c r="D32" s="78">
        <v>0</v>
      </c>
      <c r="E32" s="78">
        <v>0</v>
      </c>
      <c r="F32" s="78">
        <v>190</v>
      </c>
      <c r="G32" s="78">
        <v>0</v>
      </c>
      <c r="H32" s="78">
        <v>0</v>
      </c>
      <c r="I32" s="78">
        <v>0</v>
      </c>
      <c r="J32" s="78">
        <v>695</v>
      </c>
      <c r="K32" s="80">
        <f>SUM(C32:J32)</f>
        <v>2683</v>
      </c>
      <c r="L32" s="77"/>
      <c r="R32" s="49" t="s">
        <v>116</v>
      </c>
      <c r="S32" s="50">
        <f>K20-J20</f>
        <v>733.55645161290886</v>
      </c>
      <c r="T32" s="130">
        <f t="shared" si="7"/>
        <v>0.73355645161290883</v>
      </c>
      <c r="U32"/>
    </row>
    <row r="33" spans="2:39" ht="17.25" x14ac:dyDescent="0.4">
      <c r="B33" s="19" t="s">
        <v>36</v>
      </c>
      <c r="C33" s="121">
        <v>726</v>
      </c>
      <c r="D33" s="78">
        <v>0</v>
      </c>
      <c r="E33" s="78">
        <v>0</v>
      </c>
      <c r="F33" s="78">
        <v>52</v>
      </c>
      <c r="G33" s="121">
        <v>94510</v>
      </c>
      <c r="H33" s="78">
        <v>0</v>
      </c>
      <c r="I33" s="78">
        <v>5952</v>
      </c>
      <c r="J33" s="78">
        <v>41778</v>
      </c>
      <c r="K33" s="80">
        <f t="shared" ref="K33:K40" si="8">SUM(C33:J33)</f>
        <v>143018</v>
      </c>
      <c r="L33" s="77"/>
      <c r="R33" s="49" t="s">
        <v>117</v>
      </c>
      <c r="S33" s="50">
        <f>L4</f>
        <v>0</v>
      </c>
      <c r="T33" s="130">
        <f t="shared" si="7"/>
        <v>0</v>
      </c>
      <c r="U33" s="53"/>
    </row>
    <row r="34" spans="2:39" x14ac:dyDescent="0.25">
      <c r="B34" s="19" t="s">
        <v>37</v>
      </c>
      <c r="C34" s="78">
        <v>6292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5346</v>
      </c>
      <c r="J34" s="78">
        <v>49236</v>
      </c>
      <c r="K34" s="80">
        <f t="shared" si="8"/>
        <v>60874</v>
      </c>
      <c r="L34" s="77"/>
      <c r="R34" s="49" t="s">
        <v>118</v>
      </c>
      <c r="S34" s="50">
        <f>L5</f>
        <v>777</v>
      </c>
      <c r="T34" s="130">
        <f t="shared" si="7"/>
        <v>0.77700000000000002</v>
      </c>
      <c r="U34" s="53"/>
    </row>
    <row r="35" spans="2:39" x14ac:dyDescent="0.25">
      <c r="B35" s="19" t="s">
        <v>38</v>
      </c>
      <c r="C35" s="78">
        <v>188385</v>
      </c>
      <c r="D35" s="78">
        <v>0</v>
      </c>
      <c r="E35" s="78">
        <v>0</v>
      </c>
      <c r="F35" s="78">
        <v>17386</v>
      </c>
      <c r="G35" s="78">
        <v>0</v>
      </c>
      <c r="H35" s="78">
        <v>0</v>
      </c>
      <c r="I35" s="78">
        <v>0</v>
      </c>
      <c r="J35" s="78">
        <v>398</v>
      </c>
      <c r="K35" s="80">
        <f t="shared" si="8"/>
        <v>206169</v>
      </c>
      <c r="L35" s="77"/>
      <c r="R35" s="49" t="s">
        <v>119</v>
      </c>
      <c r="S35" s="50">
        <f>L15</f>
        <v>145</v>
      </c>
      <c r="T35" s="130">
        <f t="shared" si="7"/>
        <v>0.14499999999999999</v>
      </c>
      <c r="U35" s="53"/>
    </row>
    <row r="36" spans="2:39" ht="15.75" thickBot="1" x14ac:dyDescent="0.3">
      <c r="B36" s="19" t="s">
        <v>39</v>
      </c>
      <c r="C36" s="78">
        <v>1512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4748</v>
      </c>
      <c r="J36" s="78">
        <v>46335</v>
      </c>
      <c r="K36" s="80">
        <f t="shared" si="8"/>
        <v>52595</v>
      </c>
      <c r="L36" s="77"/>
      <c r="R36" s="54" t="s">
        <v>120</v>
      </c>
      <c r="S36" s="131">
        <f>L16</f>
        <v>0</v>
      </c>
      <c r="T36" s="132">
        <f t="shared" si="7"/>
        <v>0</v>
      </c>
    </row>
    <row r="37" spans="2:39" x14ac:dyDescent="0.25">
      <c r="B37" s="19" t="s">
        <v>40</v>
      </c>
      <c r="C37" s="78">
        <v>898</v>
      </c>
      <c r="D37" s="78">
        <v>0</v>
      </c>
      <c r="E37" s="78">
        <v>0</v>
      </c>
      <c r="F37" s="78">
        <v>0</v>
      </c>
      <c r="G37" s="78">
        <v>31704</v>
      </c>
      <c r="H37" s="78">
        <v>0</v>
      </c>
      <c r="I37" s="78">
        <v>0</v>
      </c>
      <c r="J37" s="78">
        <v>56183</v>
      </c>
      <c r="K37" s="80">
        <f t="shared" si="8"/>
        <v>88785</v>
      </c>
      <c r="L37" s="77"/>
      <c r="R37" s="125" t="s">
        <v>121</v>
      </c>
      <c r="S37" s="133">
        <f>SUM(S30:S36)</f>
        <v>27074.996451612908</v>
      </c>
      <c r="T37" s="134">
        <f>SUM(T30:T36)</f>
        <v>27.074996451612908</v>
      </c>
      <c r="U37"/>
    </row>
    <row r="38" spans="2:39" x14ac:dyDescent="0.25">
      <c r="B38" s="19" t="s">
        <v>41</v>
      </c>
      <c r="C38" s="78">
        <v>308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7349</v>
      </c>
      <c r="J38" s="78">
        <v>19013</v>
      </c>
      <c r="K38" s="80">
        <f t="shared" si="8"/>
        <v>26670</v>
      </c>
      <c r="L38" s="108"/>
      <c r="N38" s="6"/>
      <c r="O38" s="6"/>
      <c r="P38" s="6"/>
      <c r="Q38" s="6"/>
      <c r="R38" s="125" t="s">
        <v>122</v>
      </c>
      <c r="S38"/>
      <c r="T38" s="58">
        <f>T28+T37+T21</f>
        <v>676.39899645161302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2:39" x14ac:dyDescent="0.25">
      <c r="B39" s="19" t="s">
        <v>42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68530</v>
      </c>
      <c r="K39" s="80">
        <f t="shared" si="8"/>
        <v>68530</v>
      </c>
      <c r="L39" s="77"/>
      <c r="R39" s="1" t="s">
        <v>123</v>
      </c>
      <c r="S39"/>
      <c r="T39" s="135">
        <f>T19-T38</f>
        <v>0</v>
      </c>
      <c r="U39" s="136"/>
    </row>
    <row r="40" spans="2:39" ht="17.25" x14ac:dyDescent="0.4">
      <c r="B40" s="19" t="s">
        <v>43</v>
      </c>
      <c r="C40" s="76">
        <f>SUM(C32:C39)</f>
        <v>199919</v>
      </c>
      <c r="D40" s="72">
        <f t="shared" ref="D40:J40" si="9">SUM(D32:D39)</f>
        <v>0</v>
      </c>
      <c r="E40" s="72">
        <f t="shared" si="9"/>
        <v>0</v>
      </c>
      <c r="F40" s="72">
        <f t="shared" si="9"/>
        <v>17628</v>
      </c>
      <c r="G40" s="76">
        <f t="shared" si="9"/>
        <v>126214</v>
      </c>
      <c r="H40" s="72">
        <f t="shared" si="9"/>
        <v>0</v>
      </c>
      <c r="I40" s="72">
        <f t="shared" si="9"/>
        <v>23395</v>
      </c>
      <c r="J40" s="72">
        <f t="shared" si="9"/>
        <v>282168</v>
      </c>
      <c r="K40" s="80">
        <f t="shared" si="8"/>
        <v>649324</v>
      </c>
      <c r="L40" s="77"/>
    </row>
    <row r="41" spans="2:39" x14ac:dyDescent="0.25">
      <c r="B41" s="19" t="s">
        <v>44</v>
      </c>
      <c r="C41" s="72">
        <f>SUM(C37:C39)</f>
        <v>1206</v>
      </c>
      <c r="D41" s="72">
        <f t="shared" ref="D41:K41" si="10">SUM(D37:D39)</f>
        <v>0</v>
      </c>
      <c r="E41" s="72">
        <f t="shared" si="10"/>
        <v>0</v>
      </c>
      <c r="F41" s="72">
        <f t="shared" si="10"/>
        <v>0</v>
      </c>
      <c r="G41" s="72">
        <f t="shared" si="10"/>
        <v>31704</v>
      </c>
      <c r="H41" s="72">
        <f t="shared" si="10"/>
        <v>0</v>
      </c>
      <c r="I41" s="72">
        <f t="shared" si="10"/>
        <v>7349</v>
      </c>
      <c r="J41" s="72">
        <f t="shared" si="10"/>
        <v>143726</v>
      </c>
      <c r="K41" s="72">
        <f t="shared" si="10"/>
        <v>183985</v>
      </c>
      <c r="L41" s="77"/>
    </row>
    <row r="42" spans="2:39" x14ac:dyDescent="0.25">
      <c r="B42" s="24"/>
      <c r="C42" s="112"/>
      <c r="D42" s="112"/>
      <c r="E42" s="112"/>
      <c r="F42" s="112"/>
      <c r="G42" s="112"/>
      <c r="H42" s="112"/>
      <c r="I42" s="112"/>
      <c r="J42" s="112"/>
      <c r="K42" s="113"/>
      <c r="L42" s="114"/>
    </row>
    <row r="43" spans="2:39" ht="15.75" thickBot="1" x14ac:dyDescent="0.3">
      <c r="B43" s="43"/>
      <c r="C43" s="44"/>
      <c r="D43" s="44"/>
      <c r="E43" s="44"/>
      <c r="F43" s="44"/>
      <c r="G43" s="44"/>
      <c r="H43" s="44"/>
      <c r="I43" s="44"/>
      <c r="J43" s="44"/>
      <c r="K43" s="45"/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50"/>
  <sheetViews>
    <sheetView zoomScale="60" zoomScaleNormal="60" workbookViewId="0">
      <selection activeCell="J28" sqref="J28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4.42578125" style="1" bestFit="1" customWidth="1"/>
    <col min="4" max="4" width="13.5703125" style="1" bestFit="1" customWidth="1"/>
    <col min="5" max="5" width="12.42578125" style="1" bestFit="1" customWidth="1"/>
    <col min="6" max="6" width="14.5703125" style="1" bestFit="1" customWidth="1"/>
    <col min="7" max="7" width="13.5703125" style="1" bestFit="1" customWidth="1"/>
    <col min="8" max="8" width="9.28515625" style="1" bestFit="1" customWidth="1"/>
    <col min="9" max="9" width="27.140625" style="1" customWidth="1"/>
    <col min="10" max="10" width="17.7109375" style="1" customWidth="1"/>
    <col min="11" max="11" width="20.42578125" style="1" customWidth="1"/>
    <col min="12" max="12" width="21.85546875" style="1" customWidth="1"/>
    <col min="13" max="13" width="25.5703125" style="1" customWidth="1"/>
    <col min="14" max="14" width="9.140625" style="1"/>
    <col min="15" max="15" width="10.7109375" style="1" bestFit="1" customWidth="1"/>
    <col min="16" max="17" width="9.140625" style="1"/>
    <col min="18" max="18" width="39" style="1" bestFit="1" customWidth="1"/>
    <col min="19" max="19" width="13.7109375" style="1" bestFit="1" customWidth="1"/>
    <col min="20" max="16384" width="9.140625" style="1"/>
  </cols>
  <sheetData>
    <row r="1" spans="2:22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4"/>
      <c r="I1" s="5" t="s">
        <v>2</v>
      </c>
      <c r="J1" s="5" t="s">
        <v>3</v>
      </c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1"/>
    </row>
    <row r="2" spans="2:22" s="7" customFormat="1" ht="60" x14ac:dyDescent="0.25">
      <c r="B2" s="8"/>
      <c r="C2" s="9" t="s">
        <v>58</v>
      </c>
      <c r="D2" s="9" t="s">
        <v>53</v>
      </c>
      <c r="E2" s="9" t="s">
        <v>56</v>
      </c>
      <c r="F2" s="10" t="s">
        <v>57</v>
      </c>
      <c r="G2" s="10" t="s">
        <v>102</v>
      </c>
      <c r="H2" s="10" t="s">
        <v>25</v>
      </c>
      <c r="I2" s="11" t="s">
        <v>4</v>
      </c>
      <c r="J2" s="11" t="s">
        <v>5</v>
      </c>
      <c r="L2" s="12" t="s">
        <v>6</v>
      </c>
      <c r="M2" s="13"/>
      <c r="N2" s="6"/>
      <c r="O2" s="6"/>
      <c r="P2" s="6"/>
      <c r="Q2" s="6"/>
      <c r="R2" s="6"/>
      <c r="S2" s="6"/>
      <c r="T2" s="6"/>
      <c r="U2" s="6"/>
      <c r="V2" s="1"/>
    </row>
    <row r="3" spans="2:22" s="7" customFormat="1" x14ac:dyDescent="0.25">
      <c r="B3" s="14" t="s">
        <v>7</v>
      </c>
      <c r="C3" s="15"/>
      <c r="D3" s="15"/>
      <c r="E3" s="15"/>
      <c r="F3" s="15"/>
      <c r="G3" s="15"/>
      <c r="H3" s="15"/>
      <c r="I3" s="16"/>
      <c r="J3" s="16"/>
      <c r="K3" s="17"/>
      <c r="L3" s="18"/>
      <c r="M3" s="1"/>
      <c r="N3" s="6"/>
      <c r="O3" s="6"/>
      <c r="P3" s="6"/>
      <c r="Q3" s="6"/>
      <c r="T3" s="7" t="s">
        <v>48</v>
      </c>
      <c r="V3" s="1"/>
    </row>
    <row r="4" spans="2:22" s="7" customFormat="1" x14ac:dyDescent="0.25">
      <c r="B4" s="19" t="s">
        <v>8</v>
      </c>
      <c r="C4" s="138">
        <f>'[2]fjv-2013'!C18</f>
        <v>0</v>
      </c>
      <c r="D4" s="138">
        <f>'[2]fjv-2013'!D18</f>
        <v>0</v>
      </c>
      <c r="E4" s="138">
        <f>'[2]fjv-2013'!E18</f>
        <v>0</v>
      </c>
      <c r="F4" s="138">
        <f>'[2]fjv-2013'!F18</f>
        <v>0</v>
      </c>
      <c r="G4" s="138">
        <f>'[2]fjv-2013'!G18</f>
        <v>0</v>
      </c>
      <c r="H4" s="138">
        <f>'[2]fjv-2013'!H18</f>
        <v>0</v>
      </c>
      <c r="I4" s="138">
        <f>SUM(C4:H4)</f>
        <v>0</v>
      </c>
      <c r="J4" s="139">
        <f>'[2]fjv-2013'!B18</f>
        <v>0</v>
      </c>
      <c r="K4" s="137">
        <f>J4/(J4+J5)</f>
        <v>0</v>
      </c>
      <c r="L4" s="80">
        <f>I4-J4</f>
        <v>0</v>
      </c>
      <c r="M4" s="1"/>
      <c r="N4" s="6"/>
      <c r="O4" s="6"/>
      <c r="P4" s="6"/>
      <c r="Q4" s="6"/>
      <c r="R4" s="49" t="s">
        <v>103</v>
      </c>
      <c r="S4" s="21">
        <f>K20</f>
        <v>259502.4193548387</v>
      </c>
      <c r="T4" s="123">
        <f>S4/1000</f>
        <v>259.50241935483871</v>
      </c>
      <c r="U4" s="124"/>
      <c r="V4" s="1"/>
    </row>
    <row r="5" spans="2:22" s="7" customFormat="1" x14ac:dyDescent="0.25">
      <c r="B5" s="19" t="s">
        <v>9</v>
      </c>
      <c r="C5" s="138">
        <f>'[2]fjv-2013'!C19</f>
        <v>7278</v>
      </c>
      <c r="D5" s="138">
        <f>'[2]fjv-2013'!D19</f>
        <v>29516</v>
      </c>
      <c r="E5" s="138">
        <f>'[2]fjv-2013'!E19</f>
        <v>0</v>
      </c>
      <c r="F5" s="138">
        <f>'[2]fjv-2013'!F19</f>
        <v>0</v>
      </c>
      <c r="G5" s="138">
        <f>'[2]fjv-2013'!G19</f>
        <v>84042.999999999985</v>
      </c>
      <c r="H5" s="138">
        <f>'[2]fjv-2013'!H19</f>
        <v>0</v>
      </c>
      <c r="I5" s="138">
        <f t="shared" ref="I5:I10" si="0">SUM(C5:H5)</f>
        <v>120836.99999999999</v>
      </c>
      <c r="J5" s="139">
        <f>'[2]fjv-2013'!B19</f>
        <v>114009</v>
      </c>
      <c r="K5" s="137">
        <f>J5/(J4+J5)</f>
        <v>1</v>
      </c>
      <c r="L5" s="80">
        <f>I5-J5</f>
        <v>6827.9999999999854</v>
      </c>
      <c r="M5" s="1"/>
      <c r="N5" s="6"/>
      <c r="O5" s="6"/>
      <c r="P5" s="6"/>
      <c r="Q5" s="6"/>
      <c r="R5" s="7" t="s">
        <v>104</v>
      </c>
      <c r="S5" s="21">
        <f>IF(J28&gt;0,0,J28)*-1</f>
        <v>31597.959999999992</v>
      </c>
      <c r="T5" s="123">
        <f>S5/1000</f>
        <v>31.597959999999993</v>
      </c>
      <c r="V5" s="1"/>
    </row>
    <row r="6" spans="2:22" s="7" customFormat="1" x14ac:dyDescent="0.25">
      <c r="B6" s="19" t="s">
        <v>10</v>
      </c>
      <c r="C6" s="138">
        <f>'[2]fjv-2013'!C20</f>
        <v>0</v>
      </c>
      <c r="D6" s="138">
        <f>'[2]fjv-2013'!D20</f>
        <v>0</v>
      </c>
      <c r="E6" s="138">
        <f>'[2]fjv-2013'!E20</f>
        <v>0</v>
      </c>
      <c r="F6" s="138">
        <f>'[2]fjv-2013'!F20</f>
        <v>0</v>
      </c>
      <c r="G6" s="138">
        <f>'[2]fjv-2013'!G20</f>
        <v>0</v>
      </c>
      <c r="H6" s="138">
        <f>'[2]fjv-2013'!H20</f>
        <v>0</v>
      </c>
      <c r="I6" s="138">
        <f t="shared" si="0"/>
        <v>0</v>
      </c>
      <c r="J6" s="139">
        <f>'[2]fjv-2013'!B20</f>
        <v>0</v>
      </c>
      <c r="K6" s="79"/>
      <c r="L6" s="80"/>
      <c r="M6" s="1"/>
      <c r="N6" s="6"/>
      <c r="O6" s="6"/>
      <c r="P6" s="6"/>
      <c r="Q6" s="6"/>
      <c r="R6" s="49" t="s">
        <v>50</v>
      </c>
      <c r="S6" s="123">
        <f>G10+G20+G40</f>
        <v>128080.49999999999</v>
      </c>
      <c r="T6" s="123">
        <f>S6/1000</f>
        <v>128.08049999999997</v>
      </c>
      <c r="U6" s="124"/>
      <c r="V6" s="1"/>
    </row>
    <row r="7" spans="2:22" s="7" customFormat="1" x14ac:dyDescent="0.25">
      <c r="B7" s="19" t="s">
        <v>11</v>
      </c>
      <c r="C7" s="138">
        <f>'[2]fjv-2013'!C21</f>
        <v>0</v>
      </c>
      <c r="D7" s="138">
        <f>'[2]fjv-2013'!D21</f>
        <v>0</v>
      </c>
      <c r="E7" s="138">
        <f>'[2]fjv-2013'!E21</f>
        <v>0</v>
      </c>
      <c r="F7" s="138">
        <f>'[2]fjv-2013'!F21</f>
        <v>0</v>
      </c>
      <c r="G7" s="138">
        <f>'[2]fjv-2013'!G21</f>
        <v>0</v>
      </c>
      <c r="H7" s="138">
        <f>'[2]fjv-2013'!H21</f>
        <v>0</v>
      </c>
      <c r="I7" s="138">
        <f t="shared" si="0"/>
        <v>0</v>
      </c>
      <c r="J7" s="139">
        <f>'[2]fjv-2013'!B21</f>
        <v>0</v>
      </c>
      <c r="K7" s="79"/>
      <c r="L7" s="80"/>
      <c r="M7" s="1"/>
      <c r="N7" s="6"/>
      <c r="O7" s="6"/>
      <c r="P7" s="6"/>
      <c r="Q7" s="6"/>
      <c r="R7" s="49" t="s">
        <v>53</v>
      </c>
      <c r="S7" s="123">
        <f>D10+D20</f>
        <v>29516</v>
      </c>
      <c r="T7" s="123">
        <f t="shared" ref="T7:T14" si="1">S7/1000</f>
        <v>29.515999999999998</v>
      </c>
      <c r="U7" s="124"/>
      <c r="V7" s="1"/>
    </row>
    <row r="8" spans="2:22" s="7" customFormat="1" x14ac:dyDescent="0.25">
      <c r="B8" s="19" t="s">
        <v>12</v>
      </c>
      <c r="C8" s="138">
        <f>'[2]fjv-2013'!C22</f>
        <v>0</v>
      </c>
      <c r="D8" s="138">
        <f>'[2]fjv-2013'!D22</f>
        <v>0</v>
      </c>
      <c r="E8" s="138">
        <f>'[2]fjv-2013'!E22</f>
        <v>0</v>
      </c>
      <c r="F8" s="138">
        <f>'[2]fjv-2013'!F22</f>
        <v>0</v>
      </c>
      <c r="G8" s="138">
        <f>'[2]fjv-2013'!G22</f>
        <v>0</v>
      </c>
      <c r="H8" s="138">
        <f>'[2]fjv-2013'!H22</f>
        <v>0</v>
      </c>
      <c r="I8" s="138">
        <f t="shared" si="0"/>
        <v>0</v>
      </c>
      <c r="J8" s="139">
        <f>'[2]fjv-2013'!B22</f>
        <v>0</v>
      </c>
      <c r="K8" s="79"/>
      <c r="L8" s="80"/>
      <c r="M8" s="1"/>
      <c r="N8" s="6"/>
      <c r="O8" s="6"/>
      <c r="P8" s="6"/>
      <c r="Q8" s="6"/>
      <c r="S8" s="123"/>
      <c r="T8" s="123">
        <f t="shared" si="1"/>
        <v>0</v>
      </c>
      <c r="U8" s="124"/>
      <c r="V8" s="1"/>
    </row>
    <row r="9" spans="2:22" s="7" customFormat="1" x14ac:dyDescent="0.25">
      <c r="B9" s="19" t="s">
        <v>13</v>
      </c>
      <c r="C9" s="138">
        <f>'[2]fjv-2013'!C23</f>
        <v>0</v>
      </c>
      <c r="D9" s="138">
        <f>'[2]fjv-2013'!D23</f>
        <v>0</v>
      </c>
      <c r="E9" s="138">
        <f>'[2]fjv-2013'!E23</f>
        <v>0</v>
      </c>
      <c r="F9" s="138">
        <f>'[2]fjv-2013'!F23</f>
        <v>0</v>
      </c>
      <c r="G9" s="138">
        <f>'[2]fjv-2013'!G23</f>
        <v>0</v>
      </c>
      <c r="H9" s="138">
        <f>'[2]fjv-2013'!H23</f>
        <v>0</v>
      </c>
      <c r="I9" s="138">
        <f t="shared" si="0"/>
        <v>0</v>
      </c>
      <c r="J9" s="139">
        <f>'[2]fjv-2013'!B23</f>
        <v>8991</v>
      </c>
      <c r="K9" s="79"/>
      <c r="L9" s="80"/>
      <c r="M9" s="1"/>
      <c r="N9" s="6"/>
      <c r="O9" s="6"/>
      <c r="P9" s="6"/>
      <c r="Q9" s="6"/>
      <c r="R9" s="125" t="s">
        <v>105</v>
      </c>
      <c r="S9" s="123"/>
      <c r="T9" s="123">
        <f t="shared" si="1"/>
        <v>0</v>
      </c>
      <c r="U9" s="124"/>
      <c r="V9" s="1"/>
    </row>
    <row r="10" spans="2:22" s="7" customFormat="1" x14ac:dyDescent="0.25">
      <c r="B10" s="19" t="s">
        <v>14</v>
      </c>
      <c r="C10" s="139">
        <f t="shared" ref="C10:H10" si="2">SUM(C4:C9)</f>
        <v>7278</v>
      </c>
      <c r="D10" s="139">
        <f t="shared" si="2"/>
        <v>29516</v>
      </c>
      <c r="E10" s="139">
        <f t="shared" si="2"/>
        <v>0</v>
      </c>
      <c r="F10" s="139">
        <f t="shared" si="2"/>
        <v>0</v>
      </c>
      <c r="G10" s="139">
        <f t="shared" si="2"/>
        <v>84042.999999999985</v>
      </c>
      <c r="H10" s="139">
        <f t="shared" si="2"/>
        <v>0</v>
      </c>
      <c r="I10" s="138">
        <f t="shared" si="0"/>
        <v>120836.99999999999</v>
      </c>
      <c r="J10" s="139">
        <f>'[2]fjv-2013'!B24</f>
        <v>123000</v>
      </c>
      <c r="K10" s="79"/>
      <c r="L10" s="80">
        <f>SUM(L4:L9)</f>
        <v>6827.9999999999854</v>
      </c>
      <c r="M10" s="1"/>
      <c r="N10" s="6"/>
      <c r="O10" s="6"/>
      <c r="P10" s="6"/>
      <c r="Q10" s="6"/>
      <c r="R10" s="49" t="s">
        <v>55</v>
      </c>
      <c r="S10" s="123"/>
      <c r="T10" s="123">
        <f t="shared" si="1"/>
        <v>0</v>
      </c>
      <c r="U10" s="124"/>
      <c r="V10" s="1"/>
    </row>
    <row r="11" spans="2:22" s="7" customFormat="1" x14ac:dyDescent="0.25">
      <c r="B11" s="22"/>
      <c r="C11" s="83"/>
      <c r="D11" s="83"/>
      <c r="E11" s="83"/>
      <c r="F11" s="83"/>
      <c r="G11" s="83"/>
      <c r="H11" s="83"/>
      <c r="I11" s="83"/>
      <c r="J11" s="83"/>
      <c r="K11" s="84"/>
      <c r="L11" s="85"/>
      <c r="M11" s="1"/>
      <c r="N11" s="6"/>
      <c r="O11" s="6"/>
      <c r="P11" s="6"/>
      <c r="Q11" s="6"/>
      <c r="R11" s="49" t="s">
        <v>56</v>
      </c>
      <c r="S11" s="123">
        <f>E10+E20+E40</f>
        <v>1834.5</v>
      </c>
      <c r="T11" s="123">
        <f t="shared" si="1"/>
        <v>1.8345</v>
      </c>
      <c r="U11" s="124"/>
      <c r="V11" s="1"/>
    </row>
    <row r="12" spans="2:22" s="7" customFormat="1" x14ac:dyDescent="0.25">
      <c r="B12" s="23" t="s">
        <v>15</v>
      </c>
      <c r="C12" s="83"/>
      <c r="D12" s="83"/>
      <c r="E12" s="83"/>
      <c r="F12" s="83"/>
      <c r="G12" s="83"/>
      <c r="H12" s="83"/>
      <c r="I12" s="79"/>
      <c r="J12" s="79"/>
      <c r="K12" s="84"/>
      <c r="L12" s="85"/>
      <c r="M12" s="1"/>
      <c r="N12" s="6"/>
      <c r="O12" s="6"/>
      <c r="P12" s="6"/>
      <c r="Q12" s="6"/>
      <c r="R12" s="49" t="s">
        <v>25</v>
      </c>
      <c r="S12" s="123">
        <f>H10+H20+H40</f>
        <v>0</v>
      </c>
      <c r="T12" s="123">
        <f t="shared" si="1"/>
        <v>0</v>
      </c>
      <c r="U12" s="124"/>
      <c r="V12" s="1"/>
    </row>
    <row r="13" spans="2:22" x14ac:dyDescent="0.25">
      <c r="B13" s="24"/>
      <c r="C13" s="78"/>
      <c r="D13" s="78"/>
      <c r="E13" s="78"/>
      <c r="F13" s="78"/>
      <c r="G13" s="78"/>
      <c r="H13" s="78"/>
      <c r="I13" s="78"/>
      <c r="J13" s="78"/>
      <c r="K13" s="78"/>
      <c r="L13" s="86"/>
      <c r="M13" s="6"/>
      <c r="R13" s="49" t="s">
        <v>57</v>
      </c>
      <c r="S13" s="123">
        <f>F10+F20+F40</f>
        <v>26239</v>
      </c>
      <c r="T13" s="123">
        <f t="shared" si="1"/>
        <v>26.239000000000001</v>
      </c>
      <c r="U13" s="124"/>
    </row>
    <row r="14" spans="2:22" ht="18.75" x14ac:dyDescent="0.3">
      <c r="B14" s="26" t="s">
        <v>16</v>
      </c>
      <c r="C14" s="87"/>
      <c r="D14" s="87"/>
      <c r="E14" s="87"/>
      <c r="F14" s="87"/>
      <c r="G14" s="87"/>
      <c r="H14" s="87"/>
      <c r="I14" s="87"/>
      <c r="J14" s="88" t="s">
        <v>17</v>
      </c>
      <c r="K14" s="89" t="s">
        <v>18</v>
      </c>
      <c r="L14" s="90"/>
      <c r="M14" s="27" t="s">
        <v>19</v>
      </c>
      <c r="N14" s="28"/>
      <c r="R14" s="49" t="s">
        <v>58</v>
      </c>
      <c r="S14" s="123">
        <f>C10+C20+C40</f>
        <v>291468</v>
      </c>
      <c r="T14" s="123">
        <f t="shared" si="1"/>
        <v>291.46800000000002</v>
      </c>
      <c r="U14" s="124"/>
    </row>
    <row r="15" spans="2:22" x14ac:dyDescent="0.25">
      <c r="B15" s="19" t="s">
        <v>20</v>
      </c>
      <c r="C15" s="139">
        <f>'[2]Elproduktion 2013'!C4</f>
        <v>0</v>
      </c>
      <c r="D15" s="139">
        <f>'[2]Elproduktion 2013'!D4</f>
        <v>0</v>
      </c>
      <c r="E15" s="139">
        <f>'[2]Elproduktion 2013'!E4</f>
        <v>0</v>
      </c>
      <c r="F15" s="139">
        <f>'[2]Elproduktion 2013'!F4</f>
        <v>0</v>
      </c>
      <c r="G15" s="139">
        <f>'[2]Elproduktion 2013'!G4</f>
        <v>0</v>
      </c>
      <c r="H15" s="139">
        <f>'[2]Elproduktion 2013'!H4</f>
        <v>0</v>
      </c>
      <c r="I15" s="139">
        <f>'[2]Elproduktion 2013'!I4</f>
        <v>0</v>
      </c>
      <c r="J15" s="139">
        <f>'[2]Elproduktion 2013'!B4</f>
        <v>0</v>
      </c>
      <c r="K15" s="91">
        <f>J15/(1-M15)</f>
        <v>0</v>
      </c>
      <c r="L15" s="92">
        <f>I15-K15</f>
        <v>0</v>
      </c>
      <c r="M15" s="29">
        <v>0.03</v>
      </c>
      <c r="O15" s="30"/>
      <c r="R15" s="125" t="s">
        <v>106</v>
      </c>
      <c r="S15" s="123">
        <f>SUM(S4:S14)</f>
        <v>768238.37935483875</v>
      </c>
      <c r="T15" s="123">
        <f>SUM(T4:T14)</f>
        <v>768.23837935483868</v>
      </c>
      <c r="U15" s="124"/>
    </row>
    <row r="16" spans="2:22" x14ac:dyDescent="0.25">
      <c r="B16" s="19" t="s">
        <v>21</v>
      </c>
      <c r="K16" s="91">
        <f>J16/(1-M16)</f>
        <v>0</v>
      </c>
      <c r="L16" s="92">
        <f>I16-K16</f>
        <v>0</v>
      </c>
      <c r="M16" s="29">
        <v>0.03</v>
      </c>
      <c r="O16" s="30"/>
      <c r="R16" t="s">
        <v>107</v>
      </c>
      <c r="S16" s="57">
        <f>J8</f>
        <v>0</v>
      </c>
      <c r="T16" s="57">
        <f>S16/1000</f>
        <v>0</v>
      </c>
      <c r="U16" s="124"/>
    </row>
    <row r="17" spans="2:22" x14ac:dyDescent="0.25">
      <c r="B17" s="19" t="s">
        <v>22</v>
      </c>
      <c r="C17" s="139">
        <f>'[2]Elproduktion 2013'!C5</f>
        <v>0</v>
      </c>
      <c r="D17" s="139">
        <f>'[2]Elproduktion 2013'!D5</f>
        <v>0</v>
      </c>
      <c r="E17" s="139">
        <f>'[2]Elproduktion 2013'!E5</f>
        <v>0</v>
      </c>
      <c r="F17" s="139">
        <f>'[2]Elproduktion 2013'!F5</f>
        <v>0</v>
      </c>
      <c r="G17" s="139">
        <f>'[2]Elproduktion 2013'!G5</f>
        <v>0</v>
      </c>
      <c r="H17" s="139">
        <f>'[2]Elproduktion 2013'!H5</f>
        <v>0</v>
      </c>
      <c r="I17" s="139">
        <f>'[2]Elproduktion 2013'!I5</f>
        <v>0</v>
      </c>
      <c r="J17" s="139">
        <f>'[2]Elproduktion 2013'!B5</f>
        <v>0</v>
      </c>
      <c r="K17" s="91">
        <f>J17/(1-M17)</f>
        <v>0</v>
      </c>
      <c r="L17" s="92">
        <f>I17-K17</f>
        <v>0</v>
      </c>
      <c r="M17" s="29">
        <v>0.03</v>
      </c>
      <c r="O17" s="30"/>
      <c r="R17" t="s">
        <v>108</v>
      </c>
      <c r="S17" s="57">
        <f>J9</f>
        <v>8991</v>
      </c>
      <c r="T17" s="57">
        <f t="shared" ref="T17:T18" si="3">S17/1000</f>
        <v>8.9909999999999997</v>
      </c>
      <c r="U17" s="124"/>
      <c r="V17" s="6"/>
    </row>
    <row r="18" spans="2:22" x14ac:dyDescent="0.25">
      <c r="B18" s="19" t="s">
        <v>23</v>
      </c>
      <c r="C18" s="139">
        <f>'[2]Elproduktion 2013'!C6</f>
        <v>0</v>
      </c>
      <c r="D18" s="139">
        <f>'[2]Elproduktion 2013'!D6</f>
        <v>0</v>
      </c>
      <c r="E18" s="139">
        <f>'[2]Elproduktion 2013'!E6</f>
        <v>0</v>
      </c>
      <c r="F18" s="139">
        <f>'[2]Elproduktion 2013'!F6</f>
        <v>0</v>
      </c>
      <c r="G18" s="139">
        <f>'[2]Elproduktion 2013'!G6</f>
        <v>0</v>
      </c>
      <c r="H18" s="139">
        <f>'[2]Elproduktion 2013'!H6</f>
        <v>0</v>
      </c>
      <c r="I18" s="139">
        <f>'[2]Elproduktion 2013'!I6</f>
        <v>0</v>
      </c>
      <c r="J18" s="139">
        <f>'[2]Elproduktion 2013'!B6</f>
        <v>140668</v>
      </c>
      <c r="K18" s="91">
        <f>J18/(1-M18)</f>
        <v>141802.4193548387</v>
      </c>
      <c r="L18" s="92"/>
      <c r="M18" s="31">
        <v>8.0000000000000002E-3</v>
      </c>
      <c r="O18" s="30"/>
      <c r="R18" t="s">
        <v>109</v>
      </c>
      <c r="S18" s="57">
        <f>J6+J7</f>
        <v>0</v>
      </c>
      <c r="T18" s="57">
        <f t="shared" si="3"/>
        <v>0</v>
      </c>
      <c r="U18"/>
    </row>
    <row r="19" spans="2:22" x14ac:dyDescent="0.25">
      <c r="B19" s="19" t="s">
        <v>24</v>
      </c>
      <c r="C19" s="139">
        <f>'[2]Elproduktion 2013'!C7</f>
        <v>0</v>
      </c>
      <c r="D19" s="139">
        <f>'[2]Elproduktion 2013'!D7</f>
        <v>0</v>
      </c>
      <c r="E19" s="139">
        <f>'[2]Elproduktion 2013'!E7</f>
        <v>0</v>
      </c>
      <c r="F19" s="139">
        <f>'[2]Elproduktion 2013'!F7</f>
        <v>0</v>
      </c>
      <c r="G19" s="139">
        <f>'[2]Elproduktion 2013'!G7</f>
        <v>0</v>
      </c>
      <c r="H19" s="139">
        <f>'[2]Elproduktion 2013'!H7</f>
        <v>0</v>
      </c>
      <c r="I19" s="139">
        <f>'[2]Elproduktion 2013'!I7</f>
        <v>0</v>
      </c>
      <c r="J19" s="176">
        <f>'[2]Elproduktion 2013'!B7</f>
        <v>117700</v>
      </c>
      <c r="K19" s="91">
        <f>J19/(1-M19)</f>
        <v>117700</v>
      </c>
      <c r="L19" s="92"/>
      <c r="M19" s="1">
        <v>0</v>
      </c>
      <c r="O19" s="30"/>
      <c r="R19" t="s">
        <v>110</v>
      </c>
      <c r="S19" s="57">
        <f>SUM(S15:S18)</f>
        <v>777229.37935483875</v>
      </c>
      <c r="T19" s="57">
        <f>SUM(T15:T18)</f>
        <v>777.22937935483867</v>
      </c>
      <c r="U19"/>
    </row>
    <row r="20" spans="2:22" ht="17.25" x14ac:dyDescent="0.4">
      <c r="B20" s="19" t="s">
        <v>14</v>
      </c>
      <c r="C20" s="139">
        <f>'[2]Elproduktion 2013'!C8</f>
        <v>0</v>
      </c>
      <c r="D20" s="139">
        <f>'[2]Elproduktion 2013'!D8</f>
        <v>0</v>
      </c>
      <c r="E20" s="139">
        <f>'[2]Elproduktion 2013'!E8</f>
        <v>0</v>
      </c>
      <c r="F20" s="139">
        <f>'[2]Elproduktion 2013'!F8</f>
        <v>0</v>
      </c>
      <c r="G20" s="139">
        <f>'[2]Elproduktion 2013'!G8</f>
        <v>0</v>
      </c>
      <c r="H20" s="139">
        <f>'[2]Elproduktion 2013'!H8</f>
        <v>0</v>
      </c>
      <c r="I20" s="139">
        <f>'[2]Elproduktion 2013'!I8</f>
        <v>0</v>
      </c>
      <c r="J20" s="140">
        <f>'[2]Elproduktion 2013'!B8</f>
        <v>258368</v>
      </c>
      <c r="K20" s="93">
        <f>SUM(K15:K19)</f>
        <v>259502.4193548387</v>
      </c>
      <c r="L20" s="93">
        <f>SUM(L15:L19)</f>
        <v>0</v>
      </c>
      <c r="M20" s="32"/>
      <c r="N20" s="33"/>
      <c r="O20" s="30"/>
      <c r="R20"/>
      <c r="S20"/>
      <c r="T20"/>
      <c r="U20"/>
    </row>
    <row r="21" spans="2:22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7"/>
      <c r="L21" s="86"/>
      <c r="M21" s="30"/>
      <c r="R21" s="19" t="s">
        <v>111</v>
      </c>
      <c r="S21" s="21">
        <f>IF(J28&lt;0,0,J28)</f>
        <v>0</v>
      </c>
      <c r="T21" s="123">
        <f t="shared" ref="T21:T27" si="4">S21/1000</f>
        <v>0</v>
      </c>
      <c r="U21" s="124"/>
    </row>
    <row r="22" spans="2:22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86"/>
      <c r="R22" s="19" t="s">
        <v>35</v>
      </c>
      <c r="S22" s="126">
        <f>K32</f>
        <v>2457</v>
      </c>
      <c r="T22" s="123">
        <f t="shared" si="4"/>
        <v>2.4569999999999999</v>
      </c>
      <c r="U22" s="124"/>
    </row>
    <row r="23" spans="2:22" ht="15.75" thickBot="1" x14ac:dyDescent="0.3">
      <c r="B23" s="35" t="s">
        <v>25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R23" s="19" t="s">
        <v>36</v>
      </c>
      <c r="S23" s="126">
        <f>K33</f>
        <v>108279</v>
      </c>
      <c r="T23" s="123">
        <f t="shared" si="4"/>
        <v>108.279</v>
      </c>
      <c r="U23" s="124"/>
    </row>
    <row r="24" spans="2:22" x14ac:dyDescent="0.25">
      <c r="C24" s="77"/>
      <c r="D24" s="77"/>
      <c r="E24" s="77"/>
      <c r="F24" s="77"/>
      <c r="G24" s="77"/>
      <c r="H24" s="77"/>
      <c r="I24" s="77"/>
      <c r="J24" s="77"/>
      <c r="K24" s="77"/>
      <c r="L24" s="77"/>
      <c r="R24" s="19" t="s">
        <v>37</v>
      </c>
      <c r="S24" s="126">
        <f>K34</f>
        <v>40288</v>
      </c>
      <c r="T24" s="123">
        <f t="shared" si="4"/>
        <v>40.287999999999997</v>
      </c>
      <c r="U24" s="124"/>
    </row>
    <row r="25" spans="2:22" ht="15.75" thickBot="1" x14ac:dyDescent="0.3">
      <c r="C25" s="77"/>
      <c r="D25" s="77"/>
      <c r="E25" s="77"/>
      <c r="F25" s="77"/>
      <c r="G25" s="77"/>
      <c r="H25" s="77"/>
      <c r="I25" s="77"/>
      <c r="J25" s="77"/>
      <c r="K25" s="77"/>
      <c r="L25" s="77"/>
      <c r="R25" s="19" t="s">
        <v>38</v>
      </c>
      <c r="S25" s="126">
        <f>K35</f>
        <v>295893</v>
      </c>
      <c r="T25" s="123">
        <f t="shared" si="4"/>
        <v>295.89299999999997</v>
      </c>
      <c r="U25" s="124"/>
    </row>
    <row r="26" spans="2:22" x14ac:dyDescent="0.25">
      <c r="B26" s="8"/>
      <c r="C26" s="96"/>
      <c r="D26" s="96"/>
      <c r="E26" s="96"/>
      <c r="F26" s="96"/>
      <c r="G26" s="96"/>
      <c r="H26" s="77"/>
      <c r="I26" s="97" t="s">
        <v>26</v>
      </c>
      <c r="J26" s="98" t="s">
        <v>27</v>
      </c>
      <c r="K26" s="77"/>
      <c r="L26" s="77"/>
      <c r="M26" s="38" t="s">
        <v>28</v>
      </c>
      <c r="R26" s="19" t="s">
        <v>39</v>
      </c>
      <c r="S26" s="126">
        <f>K36</f>
        <v>82373</v>
      </c>
      <c r="T26" s="123">
        <f t="shared" si="4"/>
        <v>82.373000000000005</v>
      </c>
      <c r="U26" s="124"/>
    </row>
    <row r="27" spans="2:22" x14ac:dyDescent="0.25">
      <c r="B27" s="39" t="s">
        <v>29</v>
      </c>
      <c r="C27" s="78"/>
      <c r="D27" s="78"/>
      <c r="E27" s="78"/>
      <c r="F27" s="78"/>
      <c r="G27" s="78"/>
      <c r="H27" s="77"/>
      <c r="I27" s="72">
        <f>J10-I40</f>
        <v>11900</v>
      </c>
      <c r="J27" s="80">
        <f>J40*8%</f>
        <v>21478.959999999999</v>
      </c>
      <c r="K27" s="77"/>
      <c r="L27" s="77"/>
      <c r="M27" s="40">
        <f>100-(I40/J10*100)</f>
        <v>9.6747967479674912</v>
      </c>
      <c r="R27" s="19" t="s">
        <v>44</v>
      </c>
      <c r="S27" s="126">
        <f>K41</f>
        <v>206598</v>
      </c>
      <c r="T27" s="123">
        <f t="shared" si="4"/>
        <v>206.59800000000001</v>
      </c>
      <c r="U27" s="124"/>
    </row>
    <row r="28" spans="2:22" ht="15.75" thickBot="1" x14ac:dyDescent="0.3">
      <c r="B28" s="35" t="s">
        <v>30</v>
      </c>
      <c r="C28" s="94"/>
      <c r="D28" s="94"/>
      <c r="E28" s="94"/>
      <c r="F28" s="94"/>
      <c r="G28" s="94"/>
      <c r="H28" s="94"/>
      <c r="I28" s="99">
        <f>I40+I27-J10</f>
        <v>0</v>
      </c>
      <c r="J28" s="122">
        <f>J20-J27-J40</f>
        <v>-31597.959999999992</v>
      </c>
      <c r="K28" s="77"/>
      <c r="L28" s="77"/>
      <c r="M28" s="1" t="str">
        <f>IF(M27&gt;10,"OBS! HÖGA FÖRLUSTER","OK")</f>
        <v>OK</v>
      </c>
      <c r="R28" s="19" t="s">
        <v>112</v>
      </c>
      <c r="S28" s="58">
        <f>SUM(S22:S27)</f>
        <v>735888</v>
      </c>
      <c r="T28" s="58">
        <f>SUM(T22:T27)</f>
        <v>735.88799999999992</v>
      </c>
      <c r="U28" s="124"/>
    </row>
    <row r="29" spans="2:22" ht="15.75" thickBot="1" x14ac:dyDescent="0.3">
      <c r="C29" s="77"/>
      <c r="D29" s="77"/>
      <c r="E29" s="77"/>
      <c r="F29" s="77"/>
      <c r="G29" s="77"/>
      <c r="H29" s="77"/>
      <c r="I29" s="77"/>
      <c r="J29" s="77"/>
      <c r="K29" s="77"/>
      <c r="L29" s="77"/>
      <c r="R29" s="127" t="s">
        <v>113</v>
      </c>
      <c r="S29" s="128"/>
      <c r="T29" s="129">
        <f t="shared" ref="T29:T36" si="5">S29/1000</f>
        <v>0</v>
      </c>
      <c r="U29" s="48"/>
    </row>
    <row r="30" spans="2:22" ht="15.75" thickBot="1" x14ac:dyDescent="0.3">
      <c r="B30" s="8"/>
      <c r="C30" s="100" t="s">
        <v>0</v>
      </c>
      <c r="D30" s="100"/>
      <c r="E30" s="100"/>
      <c r="F30" s="100" t="s">
        <v>1</v>
      </c>
      <c r="G30" s="100"/>
      <c r="H30" s="96"/>
      <c r="I30" s="96"/>
      <c r="J30" s="96"/>
      <c r="K30" s="101"/>
      <c r="L30" s="77"/>
      <c r="R30" s="49" t="s">
        <v>114</v>
      </c>
      <c r="S30" s="50">
        <f>J27</f>
        <v>21478.959999999999</v>
      </c>
      <c r="T30" s="130">
        <f t="shared" si="5"/>
        <v>21.478960000000001</v>
      </c>
      <c r="U30" s="53"/>
    </row>
    <row r="31" spans="2:22" ht="30" x14ac:dyDescent="0.25">
      <c r="B31" s="41" t="s">
        <v>31</v>
      </c>
      <c r="C31" s="102" t="s">
        <v>58</v>
      </c>
      <c r="D31" s="102" t="s">
        <v>53</v>
      </c>
      <c r="E31" s="102" t="s">
        <v>56</v>
      </c>
      <c r="F31" s="103" t="s">
        <v>57</v>
      </c>
      <c r="G31" s="103" t="s">
        <v>102</v>
      </c>
      <c r="H31" s="103" t="s">
        <v>25</v>
      </c>
      <c r="I31" s="104" t="s">
        <v>32</v>
      </c>
      <c r="J31" s="104" t="s">
        <v>33</v>
      </c>
      <c r="K31" s="105" t="s">
        <v>34</v>
      </c>
      <c r="L31" s="77"/>
      <c r="R31" s="49" t="s">
        <v>115</v>
      </c>
      <c r="S31" s="50">
        <f>I27</f>
        <v>11900</v>
      </c>
      <c r="T31" s="130">
        <f t="shared" si="5"/>
        <v>11.9</v>
      </c>
      <c r="U31" s="53"/>
    </row>
    <row r="32" spans="2:22" x14ac:dyDescent="0.25">
      <c r="B32" s="19" t="s">
        <v>35</v>
      </c>
      <c r="C32" s="78">
        <v>237</v>
      </c>
      <c r="D32" s="78">
        <v>0</v>
      </c>
      <c r="E32" s="78">
        <v>0</v>
      </c>
      <c r="F32" s="78">
        <v>24</v>
      </c>
      <c r="G32" s="78">
        <v>0</v>
      </c>
      <c r="H32" s="78">
        <v>0</v>
      </c>
      <c r="I32" s="78">
        <v>0</v>
      </c>
      <c r="J32" s="78">
        <v>2196</v>
      </c>
      <c r="K32" s="80">
        <f>SUM(C32:J32)</f>
        <v>2457</v>
      </c>
      <c r="L32" s="77"/>
      <c r="R32" s="49" t="s">
        <v>116</v>
      </c>
      <c r="S32" s="50">
        <f>K20-J20</f>
        <v>1134.4193548386975</v>
      </c>
      <c r="T32" s="130">
        <f t="shared" si="5"/>
        <v>1.1344193548386974</v>
      </c>
      <c r="U32"/>
    </row>
    <row r="33" spans="2:39" x14ac:dyDescent="0.25">
      <c r="B33" s="19" t="s">
        <v>36</v>
      </c>
      <c r="C33" s="78">
        <v>12871</v>
      </c>
      <c r="D33" s="78">
        <v>0</v>
      </c>
      <c r="E33" s="106">
        <v>1834.5</v>
      </c>
      <c r="F33" s="78">
        <v>1172</v>
      </c>
      <c r="G33" s="106">
        <v>1385.5</v>
      </c>
      <c r="H33" s="78">
        <v>0</v>
      </c>
      <c r="I33" s="78">
        <v>14891</v>
      </c>
      <c r="J33" s="78">
        <v>76125</v>
      </c>
      <c r="K33" s="80">
        <f t="shared" ref="K33:K40" si="6">SUM(C33:J33)</f>
        <v>108279</v>
      </c>
      <c r="L33" s="77"/>
      <c r="R33" s="49" t="s">
        <v>117</v>
      </c>
      <c r="S33" s="50">
        <f>L4</f>
        <v>0</v>
      </c>
      <c r="T33" s="130">
        <f t="shared" si="5"/>
        <v>0</v>
      </c>
      <c r="U33" s="53"/>
    </row>
    <row r="34" spans="2:39" x14ac:dyDescent="0.25">
      <c r="B34" s="19" t="s">
        <v>37</v>
      </c>
      <c r="C34" s="78">
        <v>343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12267</v>
      </c>
      <c r="J34" s="78">
        <v>27678</v>
      </c>
      <c r="K34" s="80">
        <f t="shared" si="6"/>
        <v>40288</v>
      </c>
      <c r="L34" s="77"/>
      <c r="R34" s="49" t="s">
        <v>118</v>
      </c>
      <c r="S34" s="50">
        <f>L5</f>
        <v>6827.9999999999854</v>
      </c>
      <c r="T34" s="130">
        <f t="shared" si="5"/>
        <v>6.8279999999999852</v>
      </c>
      <c r="U34" s="53"/>
    </row>
    <row r="35" spans="2:39" x14ac:dyDescent="0.25">
      <c r="B35" s="19" t="s">
        <v>38</v>
      </c>
      <c r="C35" s="78">
        <v>269265</v>
      </c>
      <c r="D35" s="78">
        <v>0</v>
      </c>
      <c r="E35" s="78">
        <v>0</v>
      </c>
      <c r="F35" s="78">
        <v>25043</v>
      </c>
      <c r="G35" s="78">
        <v>0</v>
      </c>
      <c r="H35" s="78">
        <v>0</v>
      </c>
      <c r="I35" s="78">
        <v>0</v>
      </c>
      <c r="J35" s="78">
        <v>1585</v>
      </c>
      <c r="K35" s="80">
        <f t="shared" si="6"/>
        <v>295893</v>
      </c>
      <c r="L35" s="77"/>
      <c r="R35" s="49" t="s">
        <v>119</v>
      </c>
      <c r="S35" s="50">
        <f>L15</f>
        <v>0</v>
      </c>
      <c r="T35" s="130">
        <f t="shared" si="5"/>
        <v>0</v>
      </c>
      <c r="U35" s="53"/>
    </row>
    <row r="36" spans="2:39" ht="15.75" thickBot="1" x14ac:dyDescent="0.3">
      <c r="B36" s="19" t="s">
        <v>39</v>
      </c>
      <c r="C36" s="78">
        <v>462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32297</v>
      </c>
      <c r="J36" s="78">
        <v>49614</v>
      </c>
      <c r="K36" s="80">
        <f t="shared" si="6"/>
        <v>82373</v>
      </c>
      <c r="L36" s="77"/>
      <c r="R36" s="54" t="s">
        <v>120</v>
      </c>
      <c r="S36" s="131">
        <f>L16</f>
        <v>0</v>
      </c>
      <c r="T36" s="132">
        <f t="shared" si="5"/>
        <v>0</v>
      </c>
    </row>
    <row r="37" spans="2:39" x14ac:dyDescent="0.25">
      <c r="B37" s="19" t="s">
        <v>40</v>
      </c>
      <c r="C37" s="78">
        <v>1012</v>
      </c>
      <c r="D37" s="78">
        <v>0</v>
      </c>
      <c r="E37" s="78">
        <v>0</v>
      </c>
      <c r="F37" s="78">
        <v>0</v>
      </c>
      <c r="G37" s="78">
        <v>42652</v>
      </c>
      <c r="H37" s="78">
        <v>0</v>
      </c>
      <c r="I37" s="78">
        <v>17992</v>
      </c>
      <c r="J37" s="78">
        <v>91823</v>
      </c>
      <c r="K37" s="80">
        <f t="shared" si="6"/>
        <v>153479</v>
      </c>
      <c r="L37" s="77"/>
      <c r="R37" s="125" t="s">
        <v>121</v>
      </c>
      <c r="S37" s="133">
        <f>SUM(S30:S36)</f>
        <v>41341.379354838682</v>
      </c>
      <c r="T37" s="134">
        <f>SUM(T30:T36)</f>
        <v>41.341379354838679</v>
      </c>
      <c r="U37"/>
    </row>
    <row r="38" spans="2:39" x14ac:dyDescent="0.25">
      <c r="B38" s="19" t="s">
        <v>41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33653</v>
      </c>
      <c r="J38" s="78">
        <v>8674</v>
      </c>
      <c r="K38" s="80">
        <f t="shared" si="6"/>
        <v>42327</v>
      </c>
      <c r="L38" s="108"/>
      <c r="N38" s="6"/>
      <c r="O38" s="6"/>
      <c r="P38" s="6"/>
      <c r="Q38" s="6"/>
      <c r="R38" s="125" t="s">
        <v>122</v>
      </c>
      <c r="S38"/>
      <c r="T38" s="58">
        <f>T28+T37+T21</f>
        <v>777.22937935483856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2:39" x14ac:dyDescent="0.25">
      <c r="B39" s="19" t="s">
        <v>42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10792</v>
      </c>
      <c r="K39" s="80">
        <f t="shared" si="6"/>
        <v>10792</v>
      </c>
      <c r="L39" s="77"/>
      <c r="R39" s="1" t="s">
        <v>123</v>
      </c>
      <c r="S39"/>
      <c r="T39" s="135">
        <f>T19-T38</f>
        <v>0</v>
      </c>
      <c r="U39" s="136"/>
    </row>
    <row r="40" spans="2:39" x14ac:dyDescent="0.25">
      <c r="B40" s="19" t="s">
        <v>43</v>
      </c>
      <c r="C40" s="72">
        <f>SUM(C32:C39)</f>
        <v>284190</v>
      </c>
      <c r="D40" s="72">
        <f t="shared" ref="D40:J40" si="7">SUM(D32:D39)</f>
        <v>0</v>
      </c>
      <c r="E40" s="74">
        <f t="shared" si="7"/>
        <v>1834.5</v>
      </c>
      <c r="F40" s="72">
        <f t="shared" si="7"/>
        <v>26239</v>
      </c>
      <c r="G40" s="74">
        <f t="shared" si="7"/>
        <v>44037.5</v>
      </c>
      <c r="H40" s="72">
        <f t="shared" si="7"/>
        <v>0</v>
      </c>
      <c r="I40" s="72">
        <f t="shared" si="7"/>
        <v>111100</v>
      </c>
      <c r="J40" s="72">
        <f t="shared" si="7"/>
        <v>268487</v>
      </c>
      <c r="K40" s="80">
        <f t="shared" si="6"/>
        <v>735888</v>
      </c>
      <c r="L40" s="77"/>
    </row>
    <row r="41" spans="2:39" x14ac:dyDescent="0.25">
      <c r="B41" s="19" t="s">
        <v>44</v>
      </c>
      <c r="C41" s="72">
        <f>SUM(C37:C39)</f>
        <v>1012</v>
      </c>
      <c r="D41" s="72">
        <f t="shared" ref="D41:K41" si="8">SUM(D37:D39)</f>
        <v>0</v>
      </c>
      <c r="E41" s="72">
        <f t="shared" si="8"/>
        <v>0</v>
      </c>
      <c r="F41" s="72">
        <f t="shared" si="8"/>
        <v>0</v>
      </c>
      <c r="G41" s="72">
        <f t="shared" si="8"/>
        <v>42652</v>
      </c>
      <c r="H41" s="72">
        <f t="shared" si="8"/>
        <v>0</v>
      </c>
      <c r="I41" s="72">
        <f t="shared" si="8"/>
        <v>51645</v>
      </c>
      <c r="J41" s="72">
        <f t="shared" si="8"/>
        <v>111289</v>
      </c>
      <c r="K41" s="72">
        <f t="shared" si="8"/>
        <v>206598</v>
      </c>
      <c r="L41" s="77"/>
    </row>
    <row r="42" spans="2:39" x14ac:dyDescent="0.25">
      <c r="B42" s="24"/>
      <c r="C42" s="78"/>
      <c r="D42" s="78"/>
      <c r="E42" s="78"/>
      <c r="F42" s="78"/>
      <c r="G42" s="78"/>
      <c r="H42" s="78"/>
      <c r="I42" s="78"/>
      <c r="J42" s="78"/>
      <c r="K42" s="86"/>
      <c r="L42" s="77"/>
    </row>
    <row r="43" spans="2:39" ht="15.75" thickBot="1" x14ac:dyDescent="0.3">
      <c r="B43" s="43"/>
      <c r="C43" s="44"/>
      <c r="D43" s="44"/>
      <c r="E43" s="44"/>
      <c r="F43" s="44"/>
      <c r="G43" s="44"/>
      <c r="H43" s="44"/>
      <c r="I43" s="44"/>
      <c r="J43" s="44"/>
      <c r="K43" s="45"/>
    </row>
    <row r="48" spans="2:39" x14ac:dyDescent="0.25">
      <c r="F48" s="63"/>
    </row>
    <row r="50" spans="6:6" x14ac:dyDescent="0.25">
      <c r="F50" s="30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3"/>
  <sheetViews>
    <sheetView zoomScale="70" zoomScaleNormal="70" workbookViewId="0">
      <selection activeCell="G45" sqref="G45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8.85546875" style="1" bestFit="1" customWidth="1"/>
    <col min="4" max="5" width="9.28515625" style="1" bestFit="1" customWidth="1"/>
    <col min="6" max="6" width="10.7109375" style="1" customWidth="1"/>
    <col min="7" max="7" width="15" style="1" bestFit="1" customWidth="1"/>
    <col min="8" max="8" width="9.28515625" style="1" bestFit="1" customWidth="1"/>
    <col min="9" max="9" width="27.140625" style="1" customWidth="1"/>
    <col min="10" max="10" width="17.7109375" style="1" customWidth="1"/>
    <col min="11" max="11" width="20.42578125" style="1" customWidth="1"/>
    <col min="12" max="12" width="21.85546875" style="1" customWidth="1"/>
    <col min="13" max="13" width="25.5703125" style="1" customWidth="1"/>
    <col min="14" max="14" width="9.140625" style="1"/>
    <col min="15" max="15" width="10.7109375" style="1" bestFit="1" customWidth="1"/>
    <col min="16" max="18" width="9.140625" style="1"/>
    <col min="19" max="19" width="13.140625" style="1" bestFit="1" customWidth="1"/>
    <col min="20" max="16384" width="9.140625" style="1"/>
  </cols>
  <sheetData>
    <row r="1" spans="2:22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4"/>
      <c r="I1" s="5" t="s">
        <v>2</v>
      </c>
      <c r="J1" s="5" t="s">
        <v>3</v>
      </c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1"/>
    </row>
    <row r="2" spans="2:22" s="7" customFormat="1" ht="60" x14ac:dyDescent="0.25">
      <c r="B2" s="8"/>
      <c r="C2" s="9" t="s">
        <v>58</v>
      </c>
      <c r="D2" s="9" t="s">
        <v>53</v>
      </c>
      <c r="E2" s="9" t="s">
        <v>56</v>
      </c>
      <c r="F2" s="10" t="s">
        <v>57</v>
      </c>
      <c r="G2" s="10" t="s">
        <v>102</v>
      </c>
      <c r="H2" s="10" t="s">
        <v>25</v>
      </c>
      <c r="I2" s="11" t="s">
        <v>4</v>
      </c>
      <c r="J2" s="11" t="s">
        <v>5</v>
      </c>
      <c r="L2" s="12" t="s">
        <v>6</v>
      </c>
      <c r="M2" s="13"/>
      <c r="N2" s="6"/>
      <c r="O2" s="6"/>
      <c r="P2" s="6"/>
      <c r="Q2" s="6"/>
      <c r="R2" s="6"/>
      <c r="S2" s="6"/>
      <c r="T2" s="6"/>
      <c r="U2" s="6"/>
      <c r="V2" s="1"/>
    </row>
    <row r="3" spans="2:22" s="7" customFormat="1" x14ac:dyDescent="0.25">
      <c r="B3" s="14" t="s">
        <v>7</v>
      </c>
      <c r="C3" s="15"/>
      <c r="D3" s="15"/>
      <c r="E3" s="15"/>
      <c r="F3" s="15"/>
      <c r="G3" s="15"/>
      <c r="H3" s="15"/>
      <c r="I3" s="16"/>
      <c r="J3" s="16"/>
      <c r="K3" s="17"/>
      <c r="L3" s="18"/>
      <c r="M3" s="1"/>
      <c r="N3" s="6"/>
      <c r="O3" s="6"/>
      <c r="P3" s="6"/>
      <c r="Q3" s="6"/>
      <c r="T3" s="7" t="s">
        <v>48</v>
      </c>
      <c r="V3" s="1"/>
    </row>
    <row r="4" spans="2:22" s="7" customFormat="1" x14ac:dyDescent="0.25">
      <c r="B4" s="19" t="s">
        <v>8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f>SUM(C4:H4)</f>
        <v>0</v>
      </c>
      <c r="J4" s="78">
        <v>0</v>
      </c>
      <c r="K4" s="137">
        <f>J4/(J4+J5)</f>
        <v>0</v>
      </c>
      <c r="L4" s="80">
        <f>I4-J4</f>
        <v>0</v>
      </c>
      <c r="M4" s="1"/>
      <c r="N4" s="6"/>
      <c r="O4" s="6"/>
      <c r="P4" s="6"/>
      <c r="Q4" s="6"/>
      <c r="R4" s="49" t="s">
        <v>103</v>
      </c>
      <c r="S4" s="21">
        <f>K20</f>
        <v>77730.846774193546</v>
      </c>
      <c r="T4" s="123">
        <f>S4/1000</f>
        <v>77.730846774193552</v>
      </c>
      <c r="U4" s="124"/>
      <c r="V4" s="1"/>
    </row>
    <row r="5" spans="2:22" s="7" customFormat="1" x14ac:dyDescent="0.25">
      <c r="B5" s="19" t="s">
        <v>9</v>
      </c>
      <c r="C5" s="77">
        <v>109</v>
      </c>
      <c r="D5" s="77">
        <v>0</v>
      </c>
      <c r="E5" s="77">
        <v>0</v>
      </c>
      <c r="F5" s="77">
        <v>0</v>
      </c>
      <c r="G5" s="77">
        <v>27865</v>
      </c>
      <c r="H5" s="77">
        <v>0</v>
      </c>
      <c r="I5" s="77">
        <f t="shared" ref="I5:I10" si="0">SUM(C5:H5)</f>
        <v>27974</v>
      </c>
      <c r="J5" s="78">
        <v>24792</v>
      </c>
      <c r="K5" s="137">
        <f>J5/(J4+J5)</f>
        <v>1</v>
      </c>
      <c r="L5" s="80">
        <f>I5-J5</f>
        <v>3182</v>
      </c>
      <c r="M5" s="1"/>
      <c r="N5" s="6"/>
      <c r="O5" s="6"/>
      <c r="P5" s="6"/>
      <c r="Q5" s="6"/>
      <c r="R5" s="7" t="s">
        <v>104</v>
      </c>
      <c r="S5" s="21">
        <f>IF(J28&gt;0,0,J28)*-1</f>
        <v>1735.320000000007</v>
      </c>
      <c r="T5" s="123">
        <f>S5/1000</f>
        <v>1.7353200000000071</v>
      </c>
      <c r="V5" s="1"/>
    </row>
    <row r="6" spans="2:22" s="7" customFormat="1" x14ac:dyDescent="0.25">
      <c r="B6" s="19" t="s">
        <v>10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f t="shared" si="0"/>
        <v>0</v>
      </c>
      <c r="J6" s="78">
        <v>0</v>
      </c>
      <c r="K6" s="79"/>
      <c r="L6" s="80"/>
      <c r="M6" s="1"/>
      <c r="N6" s="6"/>
      <c r="O6" s="6"/>
      <c r="P6" s="6"/>
      <c r="Q6" s="6"/>
      <c r="R6" s="49" t="s">
        <v>50</v>
      </c>
      <c r="S6" s="123">
        <f>G10+G20+G40</f>
        <v>50778</v>
      </c>
      <c r="T6" s="123">
        <f>S6/1000</f>
        <v>50.777999999999999</v>
      </c>
      <c r="U6" s="124"/>
      <c r="V6" s="1"/>
    </row>
    <row r="7" spans="2:22" s="7" customFormat="1" x14ac:dyDescent="0.25">
      <c r="B7" s="19" t="s">
        <v>11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f t="shared" si="0"/>
        <v>0</v>
      </c>
      <c r="J7" s="78">
        <v>0</v>
      </c>
      <c r="K7" s="79"/>
      <c r="L7" s="80"/>
      <c r="M7" s="1"/>
      <c r="N7" s="6"/>
      <c r="O7" s="6"/>
      <c r="P7" s="6"/>
      <c r="Q7" s="6"/>
      <c r="R7" s="49" t="s">
        <v>52</v>
      </c>
      <c r="S7" s="123">
        <f>D10+D20+D40</f>
        <v>0</v>
      </c>
      <c r="T7" s="123">
        <f t="shared" ref="T7:T14" si="1">S7/1000</f>
        <v>0</v>
      </c>
      <c r="U7" s="124"/>
      <c r="V7" s="1"/>
    </row>
    <row r="8" spans="2:22" s="7" customFormat="1" x14ac:dyDescent="0.25">
      <c r="B8" s="19" t="s">
        <v>12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f t="shared" si="0"/>
        <v>0</v>
      </c>
      <c r="J8" s="78">
        <v>0</v>
      </c>
      <c r="K8" s="79"/>
      <c r="L8" s="80"/>
      <c r="M8" s="1"/>
      <c r="N8" s="6"/>
      <c r="O8" s="6"/>
      <c r="P8" s="6"/>
      <c r="Q8" s="6"/>
      <c r="R8" s="49" t="s">
        <v>53</v>
      </c>
      <c r="S8" s="123"/>
      <c r="T8" s="123">
        <f t="shared" si="1"/>
        <v>0</v>
      </c>
      <c r="U8" s="124"/>
      <c r="V8" s="1"/>
    </row>
    <row r="9" spans="2:22" s="7" customFormat="1" x14ac:dyDescent="0.25">
      <c r="B9" s="19" t="s">
        <v>13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f t="shared" si="0"/>
        <v>0</v>
      </c>
      <c r="J9" s="78">
        <v>3050</v>
      </c>
      <c r="K9" s="79"/>
      <c r="L9" s="80"/>
      <c r="M9" s="1"/>
      <c r="N9" s="6"/>
      <c r="O9" s="6"/>
      <c r="P9" s="6"/>
      <c r="Q9" s="6"/>
      <c r="R9" s="125" t="s">
        <v>105</v>
      </c>
      <c r="S9" s="123"/>
      <c r="T9" s="123">
        <f t="shared" si="1"/>
        <v>0</v>
      </c>
      <c r="U9" s="124"/>
      <c r="V9" s="1"/>
    </row>
    <row r="10" spans="2:22" s="7" customFormat="1" x14ac:dyDescent="0.25">
      <c r="B10" s="19" t="s">
        <v>14</v>
      </c>
      <c r="C10" s="78">
        <f t="shared" ref="C10:J10" si="2">SUM(C4:C9)</f>
        <v>109</v>
      </c>
      <c r="D10" s="78">
        <f t="shared" si="2"/>
        <v>0</v>
      </c>
      <c r="E10" s="78">
        <f t="shared" si="2"/>
        <v>0</v>
      </c>
      <c r="F10" s="78">
        <f t="shared" si="2"/>
        <v>0</v>
      </c>
      <c r="G10" s="78">
        <f t="shared" si="2"/>
        <v>27865</v>
      </c>
      <c r="H10" s="78">
        <f t="shared" si="2"/>
        <v>0</v>
      </c>
      <c r="I10" s="77">
        <f t="shared" si="0"/>
        <v>27974</v>
      </c>
      <c r="J10" s="78">
        <f t="shared" si="2"/>
        <v>27842</v>
      </c>
      <c r="K10" s="79"/>
      <c r="L10" s="80">
        <f>SUM(L4:L9)</f>
        <v>3182</v>
      </c>
      <c r="M10" s="1"/>
      <c r="N10" s="6"/>
      <c r="O10" s="6"/>
      <c r="P10" s="6"/>
      <c r="Q10" s="6"/>
      <c r="R10" s="49" t="s">
        <v>55</v>
      </c>
      <c r="S10" s="123"/>
      <c r="T10" s="123">
        <f t="shared" si="1"/>
        <v>0</v>
      </c>
      <c r="U10" s="124"/>
      <c r="V10" s="1"/>
    </row>
    <row r="11" spans="2:22" s="7" customFormat="1" x14ac:dyDescent="0.25">
      <c r="B11" s="22"/>
      <c r="C11" s="83"/>
      <c r="D11" s="83"/>
      <c r="E11" s="83"/>
      <c r="F11" s="83"/>
      <c r="G11" s="83"/>
      <c r="H11" s="83"/>
      <c r="I11" s="83"/>
      <c r="J11" s="83"/>
      <c r="K11" s="84"/>
      <c r="L11" s="85"/>
      <c r="M11" s="1"/>
      <c r="N11" s="6"/>
      <c r="O11" s="6"/>
      <c r="P11" s="6"/>
      <c r="Q11" s="6"/>
      <c r="R11" s="49" t="s">
        <v>56</v>
      </c>
      <c r="S11" s="123">
        <f>E10+E20+E40</f>
        <v>0</v>
      </c>
      <c r="T11" s="123">
        <f t="shared" si="1"/>
        <v>0</v>
      </c>
      <c r="U11" s="124"/>
      <c r="V11" s="1"/>
    </row>
    <row r="12" spans="2:22" s="7" customFormat="1" x14ac:dyDescent="0.25">
      <c r="B12" s="23" t="s">
        <v>15</v>
      </c>
      <c r="C12" s="83"/>
      <c r="D12" s="83"/>
      <c r="E12" s="83"/>
      <c r="F12" s="83"/>
      <c r="G12" s="83"/>
      <c r="H12" s="83"/>
      <c r="I12" s="79"/>
      <c r="J12" s="79"/>
      <c r="K12" s="84"/>
      <c r="L12" s="85"/>
      <c r="M12" s="1"/>
      <c r="N12" s="6"/>
      <c r="O12" s="6"/>
      <c r="P12" s="6"/>
      <c r="Q12" s="6"/>
      <c r="R12" s="49" t="s">
        <v>25</v>
      </c>
      <c r="S12" s="123">
        <f>H10+H20+H40</f>
        <v>0</v>
      </c>
      <c r="T12" s="123">
        <f t="shared" si="1"/>
        <v>0</v>
      </c>
      <c r="U12" s="124"/>
      <c r="V12" s="1"/>
    </row>
    <row r="13" spans="2:22" x14ac:dyDescent="0.25">
      <c r="B13" s="24"/>
      <c r="C13" s="78"/>
      <c r="D13" s="78"/>
      <c r="E13" s="78"/>
      <c r="F13" s="78"/>
      <c r="G13" s="78"/>
      <c r="H13" s="78"/>
      <c r="I13" s="78"/>
      <c r="J13" s="78"/>
      <c r="K13" s="78"/>
      <c r="L13" s="86"/>
      <c r="M13" s="6"/>
      <c r="R13" s="49" t="s">
        <v>57</v>
      </c>
      <c r="S13" s="123">
        <f>F10+F20+F40</f>
        <v>5706</v>
      </c>
      <c r="T13" s="123">
        <f t="shared" si="1"/>
        <v>5.7060000000000004</v>
      </c>
      <c r="U13" s="124"/>
    </row>
    <row r="14" spans="2:22" ht="18.75" x14ac:dyDescent="0.3">
      <c r="B14" s="26" t="s">
        <v>16</v>
      </c>
      <c r="C14" s="87"/>
      <c r="D14" s="87"/>
      <c r="E14" s="87"/>
      <c r="F14" s="87"/>
      <c r="G14" s="87"/>
      <c r="H14" s="87"/>
      <c r="I14" s="87"/>
      <c r="J14" s="88" t="s">
        <v>17</v>
      </c>
      <c r="K14" s="89" t="s">
        <v>18</v>
      </c>
      <c r="L14" s="90"/>
      <c r="M14" s="27" t="s">
        <v>19</v>
      </c>
      <c r="N14" s="28"/>
      <c r="R14" s="49" t="s">
        <v>58</v>
      </c>
      <c r="S14" s="123">
        <f>C10+C20+C40</f>
        <v>65286</v>
      </c>
      <c r="T14" s="123">
        <f t="shared" si="1"/>
        <v>65.286000000000001</v>
      </c>
      <c r="U14" s="124"/>
    </row>
    <row r="15" spans="2:22" x14ac:dyDescent="0.25">
      <c r="B15" s="19" t="s">
        <v>20</v>
      </c>
      <c r="C15" s="139">
        <f>'[3]Elproduktion 2013'!C4</f>
        <v>0</v>
      </c>
      <c r="D15" s="139">
        <f>'[3]Elproduktion 2013'!D4</f>
        <v>0</v>
      </c>
      <c r="E15" s="139">
        <f>'[3]Elproduktion 2013'!E4</f>
        <v>0</v>
      </c>
      <c r="F15" s="139">
        <f>'[3]Elproduktion 2013'!F4</f>
        <v>0</v>
      </c>
      <c r="G15" s="139">
        <f>'[3]Elproduktion 2013'!G4</f>
        <v>0</v>
      </c>
      <c r="H15" s="139">
        <f>'[3]Elproduktion 2013'!H4</f>
        <v>0</v>
      </c>
      <c r="I15" s="139">
        <f>'[3]Elproduktion 2013'!I4</f>
        <v>0</v>
      </c>
      <c r="J15" s="139">
        <f>'[3]Elproduktion 2013'!B4</f>
        <v>0</v>
      </c>
      <c r="K15" s="91">
        <f>J15/(1-M15)</f>
        <v>0</v>
      </c>
      <c r="L15" s="92">
        <f>I15-K15</f>
        <v>0</v>
      </c>
      <c r="M15" s="29">
        <v>0.03</v>
      </c>
      <c r="O15" s="30"/>
      <c r="R15" s="125" t="s">
        <v>106</v>
      </c>
      <c r="S15" s="123">
        <f>SUM(S4:S14)</f>
        <v>201236.16677419355</v>
      </c>
      <c r="T15" s="123">
        <f>SUM(T4:T14)</f>
        <v>201.23616677419355</v>
      </c>
      <c r="U15" s="124"/>
    </row>
    <row r="16" spans="2:22" x14ac:dyDescent="0.25">
      <c r="B16" s="19" t="s">
        <v>21</v>
      </c>
      <c r="C16" s="139">
        <f>'[3]Elproduktion 2013'!C5</f>
        <v>0</v>
      </c>
      <c r="D16" s="139">
        <f>'[3]Elproduktion 2013'!D5</f>
        <v>0</v>
      </c>
      <c r="E16" s="139">
        <f>'[3]Elproduktion 2013'!E5</f>
        <v>0</v>
      </c>
      <c r="F16" s="139">
        <f>'[3]Elproduktion 2013'!F5</f>
        <v>0</v>
      </c>
      <c r="G16" s="139">
        <f>'[3]Elproduktion 2013'!G5</f>
        <v>0</v>
      </c>
      <c r="H16" s="139">
        <f>'[3]Elproduktion 2013'!H5</f>
        <v>0</v>
      </c>
      <c r="I16" s="139">
        <f>'[3]Elproduktion 2013'!I5</f>
        <v>0</v>
      </c>
      <c r="J16" s="139">
        <f>'[3]Elproduktion 2013'!B5</f>
        <v>0</v>
      </c>
      <c r="K16" s="91">
        <f>J16/(1-M16)</f>
        <v>0</v>
      </c>
      <c r="L16" s="92">
        <f>I16-K16</f>
        <v>0</v>
      </c>
      <c r="M16" s="29">
        <v>0.03</v>
      </c>
      <c r="O16" s="30"/>
      <c r="R16" t="s">
        <v>107</v>
      </c>
      <c r="S16" s="57">
        <f>J8</f>
        <v>0</v>
      </c>
      <c r="T16" s="57">
        <f>S16/1000</f>
        <v>0</v>
      </c>
      <c r="U16" s="124"/>
    </row>
    <row r="17" spans="2:22" x14ac:dyDescent="0.25">
      <c r="B17" s="19" t="s">
        <v>22</v>
      </c>
      <c r="C17" s="139">
        <f>'[3]Elproduktion 2013'!C6</f>
        <v>0</v>
      </c>
      <c r="D17" s="139">
        <f>'[3]Elproduktion 2013'!D6</f>
        <v>0</v>
      </c>
      <c r="E17" s="139">
        <f>'[3]Elproduktion 2013'!E6</f>
        <v>0</v>
      </c>
      <c r="F17" s="139">
        <f>'[3]Elproduktion 2013'!F6</f>
        <v>0</v>
      </c>
      <c r="G17" s="139">
        <f>'[3]Elproduktion 2013'!G6</f>
        <v>0</v>
      </c>
      <c r="H17" s="139">
        <f>'[3]Elproduktion 2013'!H6</f>
        <v>0</v>
      </c>
      <c r="I17" s="139">
        <f>'[3]Elproduktion 2013'!I6</f>
        <v>0</v>
      </c>
      <c r="J17" s="139">
        <f>'[3]Elproduktion 2013'!B6</f>
        <v>0</v>
      </c>
      <c r="K17" s="91">
        <f>J17/(1-M17)</f>
        <v>0</v>
      </c>
      <c r="L17" s="92">
        <f>I17-K17</f>
        <v>0</v>
      </c>
      <c r="M17" s="29">
        <v>0.03</v>
      </c>
      <c r="O17" s="30"/>
      <c r="R17" t="s">
        <v>108</v>
      </c>
      <c r="S17" s="57">
        <f>J9</f>
        <v>3050</v>
      </c>
      <c r="T17" s="57">
        <f t="shared" ref="T17:T18" si="3">S17/1000</f>
        <v>3.05</v>
      </c>
      <c r="U17" s="124"/>
      <c r="V17" s="6"/>
    </row>
    <row r="18" spans="2:22" x14ac:dyDescent="0.25">
      <c r="B18" s="19" t="s">
        <v>23</v>
      </c>
      <c r="C18" s="139">
        <f>'[3]Elproduktion 2013'!C7</f>
        <v>0</v>
      </c>
      <c r="D18" s="139">
        <f>'[3]Elproduktion 2013'!D7</f>
        <v>0</v>
      </c>
      <c r="E18" s="139">
        <f>'[3]Elproduktion 2013'!E7</f>
        <v>0</v>
      </c>
      <c r="F18" s="139">
        <f>'[3]Elproduktion 2013'!F7</f>
        <v>0</v>
      </c>
      <c r="G18" s="139">
        <f>'[3]Elproduktion 2013'!G7</f>
        <v>0</v>
      </c>
      <c r="H18" s="139">
        <f>'[3]Elproduktion 2013'!H7</f>
        <v>0</v>
      </c>
      <c r="I18" s="139">
        <f>'[3]Elproduktion 2013'!I7</f>
        <v>0</v>
      </c>
      <c r="J18" s="139">
        <f>'[3]Elproduktion 2013'!B7</f>
        <v>77109</v>
      </c>
      <c r="K18" s="91">
        <f>J18/(1-M18)</f>
        <v>77730.846774193546</v>
      </c>
      <c r="L18" s="92"/>
      <c r="M18" s="31">
        <v>8.0000000000000002E-3</v>
      </c>
      <c r="O18" s="30"/>
      <c r="R18" t="s">
        <v>109</v>
      </c>
      <c r="S18" s="57">
        <f>J6+J7</f>
        <v>0</v>
      </c>
      <c r="T18" s="57">
        <f t="shared" si="3"/>
        <v>0</v>
      </c>
      <c r="U18"/>
    </row>
    <row r="19" spans="2:22" x14ac:dyDescent="0.25">
      <c r="B19" s="19" t="s">
        <v>24</v>
      </c>
      <c r="C19" s="139">
        <f>'[3]Elproduktion 2013'!C8</f>
        <v>0</v>
      </c>
      <c r="D19" s="139">
        <f>'[3]Elproduktion 2013'!D8</f>
        <v>0</v>
      </c>
      <c r="E19" s="139">
        <f>'[3]Elproduktion 2013'!E8</f>
        <v>0</v>
      </c>
      <c r="F19" s="139">
        <f>'[3]Elproduktion 2013'!F8</f>
        <v>0</v>
      </c>
      <c r="G19" s="139">
        <f>'[3]Elproduktion 2013'!G8</f>
        <v>0</v>
      </c>
      <c r="H19" s="139">
        <f>'[3]Elproduktion 2013'!H8</f>
        <v>0</v>
      </c>
      <c r="I19" s="139">
        <f>'[3]Elproduktion 2013'!I8</f>
        <v>0</v>
      </c>
      <c r="J19" s="139">
        <f>'[3]Elproduktion 2013'!B8</f>
        <v>0</v>
      </c>
      <c r="K19" s="91">
        <f>J19/(1-M19)</f>
        <v>0</v>
      </c>
      <c r="L19" s="92">
        <f t="shared" ref="L19" si="4">I19-K19</f>
        <v>0</v>
      </c>
      <c r="M19" s="1">
        <v>0</v>
      </c>
      <c r="O19" s="30"/>
      <c r="R19" t="s">
        <v>110</v>
      </c>
      <c r="S19" s="57">
        <f>SUM(S15:S18)</f>
        <v>204286.16677419355</v>
      </c>
      <c r="T19" s="57">
        <f>SUM(T15:T18)</f>
        <v>204.28616677419356</v>
      </c>
      <c r="U19"/>
    </row>
    <row r="20" spans="2:22" x14ac:dyDescent="0.25">
      <c r="B20" s="19" t="s">
        <v>14</v>
      </c>
      <c r="C20" s="139">
        <f>'[3]Elproduktion 2013'!C9</f>
        <v>0</v>
      </c>
      <c r="D20" s="139">
        <f>'[3]Elproduktion 2013'!D9</f>
        <v>0</v>
      </c>
      <c r="E20" s="139">
        <f>'[3]Elproduktion 2013'!E9</f>
        <v>0</v>
      </c>
      <c r="F20" s="139">
        <f>'[3]Elproduktion 2013'!F9</f>
        <v>0</v>
      </c>
      <c r="G20" s="139">
        <f>'[3]Elproduktion 2013'!G9</f>
        <v>0</v>
      </c>
      <c r="H20" s="139">
        <f>'[3]Elproduktion 2013'!H9</f>
        <v>0</v>
      </c>
      <c r="I20" s="139">
        <f>'[3]Elproduktion 2013'!I9</f>
        <v>0</v>
      </c>
      <c r="J20" s="139">
        <f>'[3]Elproduktion 2013'!B9</f>
        <v>77109</v>
      </c>
      <c r="K20" s="93">
        <f>SUM(K15:K19)</f>
        <v>77730.846774193546</v>
      </c>
      <c r="L20" s="93">
        <f>SUM(L15:L19)</f>
        <v>0</v>
      </c>
      <c r="M20" s="32"/>
      <c r="N20" s="33"/>
      <c r="O20" s="30"/>
      <c r="R20"/>
      <c r="S20"/>
      <c r="T20"/>
      <c r="U20"/>
    </row>
    <row r="21" spans="2:22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7"/>
      <c r="L21" s="86"/>
      <c r="M21" s="30"/>
      <c r="R21" s="19" t="s">
        <v>111</v>
      </c>
      <c r="S21" s="21">
        <f>IF(J28&lt;0,0,J28)</f>
        <v>0</v>
      </c>
      <c r="T21" s="123">
        <f t="shared" ref="T21:T27" si="5">S21/1000</f>
        <v>0</v>
      </c>
      <c r="U21" s="124"/>
    </row>
    <row r="22" spans="2:22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86"/>
      <c r="R22" s="19" t="s">
        <v>35</v>
      </c>
      <c r="S22" s="126">
        <f>K32</f>
        <v>3351</v>
      </c>
      <c r="T22" s="123">
        <f t="shared" si="5"/>
        <v>3.351</v>
      </c>
      <c r="U22" s="124"/>
    </row>
    <row r="23" spans="2:22" ht="15.75" thickBot="1" x14ac:dyDescent="0.3">
      <c r="B23" s="35" t="s">
        <v>25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R23" s="19" t="s">
        <v>36</v>
      </c>
      <c r="S23" s="126">
        <f>K33</f>
        <v>9585</v>
      </c>
      <c r="T23" s="123">
        <f t="shared" si="5"/>
        <v>9.5850000000000009</v>
      </c>
      <c r="U23" s="124"/>
    </row>
    <row r="24" spans="2:22" x14ac:dyDescent="0.25">
      <c r="C24" s="77"/>
      <c r="D24" s="77"/>
      <c r="E24" s="77"/>
      <c r="F24" s="77"/>
      <c r="G24" s="77"/>
      <c r="H24" s="77"/>
      <c r="I24" s="77"/>
      <c r="J24" s="77"/>
      <c r="K24" s="77"/>
      <c r="L24" s="77"/>
      <c r="R24" s="19" t="s">
        <v>37</v>
      </c>
      <c r="S24" s="126">
        <f>K34</f>
        <v>6914</v>
      </c>
      <c r="T24" s="123">
        <f t="shared" si="5"/>
        <v>6.9139999999999997</v>
      </c>
      <c r="U24" s="124"/>
    </row>
    <row r="25" spans="2:22" ht="15.75" thickBot="1" x14ac:dyDescent="0.3">
      <c r="C25" s="77"/>
      <c r="D25" s="77"/>
      <c r="E25" s="77"/>
      <c r="F25" s="77"/>
      <c r="G25" s="77"/>
      <c r="H25" s="77"/>
      <c r="I25" s="77"/>
      <c r="J25" s="77"/>
      <c r="K25" s="77"/>
      <c r="L25" s="77"/>
      <c r="R25" s="19" t="s">
        <v>38</v>
      </c>
      <c r="S25" s="126">
        <f>K35</f>
        <v>68567</v>
      </c>
      <c r="T25" s="123">
        <f t="shared" si="5"/>
        <v>68.566999999999993</v>
      </c>
      <c r="U25" s="124"/>
    </row>
    <row r="26" spans="2:22" x14ac:dyDescent="0.25">
      <c r="B26" s="8"/>
      <c r="C26" s="96"/>
      <c r="D26" s="96"/>
      <c r="E26" s="96"/>
      <c r="F26" s="96"/>
      <c r="G26" s="96"/>
      <c r="H26" s="77"/>
      <c r="I26" s="97" t="s">
        <v>26</v>
      </c>
      <c r="J26" s="98" t="s">
        <v>27</v>
      </c>
      <c r="K26" s="77"/>
      <c r="L26" s="77"/>
      <c r="M26" s="38" t="s">
        <v>28</v>
      </c>
      <c r="R26" s="19" t="s">
        <v>39</v>
      </c>
      <c r="S26" s="126">
        <f>K36</f>
        <v>23160</v>
      </c>
      <c r="T26" s="123">
        <f t="shared" si="5"/>
        <v>23.16</v>
      </c>
      <c r="U26" s="124"/>
    </row>
    <row r="27" spans="2:22" x14ac:dyDescent="0.25">
      <c r="B27" s="39" t="s">
        <v>29</v>
      </c>
      <c r="C27" s="78"/>
      <c r="D27" s="78"/>
      <c r="E27" s="78"/>
      <c r="F27" s="78"/>
      <c r="G27" s="78"/>
      <c r="H27" s="77"/>
      <c r="I27" s="72">
        <f>J10-I40</f>
        <v>3490</v>
      </c>
      <c r="J27" s="80">
        <f>J40*8%</f>
        <v>5840.32</v>
      </c>
      <c r="K27" s="77"/>
      <c r="L27" s="77"/>
      <c r="M27" s="40">
        <f>100-(I40/J10*100)</f>
        <v>12.535019035988796</v>
      </c>
      <c r="R27" s="19" t="s">
        <v>44</v>
      </c>
      <c r="S27" s="126">
        <f>K41</f>
        <v>79575</v>
      </c>
      <c r="T27" s="123">
        <f t="shared" si="5"/>
        <v>79.575000000000003</v>
      </c>
      <c r="U27" s="124"/>
    </row>
    <row r="28" spans="2:22" ht="15.75" thickBot="1" x14ac:dyDescent="0.3">
      <c r="B28" s="35" t="s">
        <v>30</v>
      </c>
      <c r="C28" s="94"/>
      <c r="D28" s="94"/>
      <c r="E28" s="94"/>
      <c r="F28" s="94"/>
      <c r="G28" s="94"/>
      <c r="H28" s="94"/>
      <c r="I28" s="99">
        <f>I40+I27-J10</f>
        <v>0</v>
      </c>
      <c r="J28" s="122">
        <f>J20-J27-J40</f>
        <v>-1735.320000000007</v>
      </c>
      <c r="K28" s="77"/>
      <c r="L28" s="77"/>
      <c r="M28" s="1" t="str">
        <f>IF(M27&gt;10,"OBS! HÖGA FÖRLUSTER","OK")</f>
        <v>OBS! HÖGA FÖRLUSTER</v>
      </c>
      <c r="R28" s="19" t="s">
        <v>112</v>
      </c>
      <c r="S28" s="58">
        <f>SUM(S22:S27)</f>
        <v>191152</v>
      </c>
      <c r="T28" s="58">
        <f>SUM(T22:T27)</f>
        <v>191.15199999999999</v>
      </c>
      <c r="U28" s="124"/>
    </row>
    <row r="29" spans="2:22" ht="15.75" thickBot="1" x14ac:dyDescent="0.3">
      <c r="C29" s="77"/>
      <c r="D29" s="77"/>
      <c r="E29" s="77"/>
      <c r="F29" s="77"/>
      <c r="G29" s="77"/>
      <c r="H29" s="77"/>
      <c r="I29" s="77"/>
      <c r="J29" s="77"/>
      <c r="K29" s="77"/>
      <c r="L29" s="77"/>
      <c r="R29" s="127" t="s">
        <v>113</v>
      </c>
      <c r="S29" s="128"/>
      <c r="T29" s="129">
        <f t="shared" ref="T29:T36" si="6">S29/1000</f>
        <v>0</v>
      </c>
      <c r="U29" s="48"/>
    </row>
    <row r="30" spans="2:22" ht="15.75" thickBot="1" x14ac:dyDescent="0.3">
      <c r="B30" s="8"/>
      <c r="C30" s="100" t="s">
        <v>0</v>
      </c>
      <c r="D30" s="100"/>
      <c r="E30" s="100"/>
      <c r="F30" s="100" t="s">
        <v>1</v>
      </c>
      <c r="G30" s="100"/>
      <c r="H30" s="96"/>
      <c r="I30" s="96"/>
      <c r="J30" s="96"/>
      <c r="K30" s="101"/>
      <c r="L30" s="77"/>
      <c r="R30" s="49" t="s">
        <v>114</v>
      </c>
      <c r="S30" s="50">
        <f>J27</f>
        <v>5840.32</v>
      </c>
      <c r="T30" s="130">
        <f t="shared" si="6"/>
        <v>5.8403199999999993</v>
      </c>
      <c r="U30" s="53"/>
    </row>
    <row r="31" spans="2:22" ht="45" x14ac:dyDescent="0.25">
      <c r="B31" s="41" t="s">
        <v>31</v>
      </c>
      <c r="C31" s="102" t="s">
        <v>58</v>
      </c>
      <c r="D31" s="102" t="s">
        <v>53</v>
      </c>
      <c r="E31" s="102" t="s">
        <v>56</v>
      </c>
      <c r="F31" s="103" t="s">
        <v>57</v>
      </c>
      <c r="G31" s="103" t="s">
        <v>102</v>
      </c>
      <c r="H31" s="103" t="s">
        <v>25</v>
      </c>
      <c r="I31" s="104" t="s">
        <v>32</v>
      </c>
      <c r="J31" s="104" t="s">
        <v>33</v>
      </c>
      <c r="K31" s="105" t="s">
        <v>34</v>
      </c>
      <c r="L31" s="77"/>
      <c r="R31" s="49" t="s">
        <v>115</v>
      </c>
      <c r="S31" s="50">
        <f>I27</f>
        <v>3490</v>
      </c>
      <c r="T31" s="130">
        <f t="shared" si="6"/>
        <v>3.49</v>
      </c>
      <c r="U31" s="53"/>
    </row>
    <row r="32" spans="2:22" x14ac:dyDescent="0.25">
      <c r="B32" s="19" t="s">
        <v>35</v>
      </c>
      <c r="C32" s="106">
        <v>1223</v>
      </c>
      <c r="D32" s="78">
        <v>0</v>
      </c>
      <c r="E32" s="78">
        <v>0</v>
      </c>
      <c r="F32" s="106">
        <v>89</v>
      </c>
      <c r="G32" s="78">
        <v>0</v>
      </c>
      <c r="H32" s="78">
        <v>0</v>
      </c>
      <c r="I32" s="78">
        <v>0</v>
      </c>
      <c r="J32" s="78">
        <v>2039</v>
      </c>
      <c r="K32" s="80">
        <f>SUM(C32:J32)</f>
        <v>3351</v>
      </c>
      <c r="L32" s="77"/>
      <c r="R32" s="49" t="s">
        <v>116</v>
      </c>
      <c r="S32" s="50">
        <f>K20-J20</f>
        <v>621.84677419354557</v>
      </c>
      <c r="T32" s="130">
        <f t="shared" si="6"/>
        <v>0.62184677419354562</v>
      </c>
      <c r="U32"/>
    </row>
    <row r="33" spans="2:39" x14ac:dyDescent="0.25">
      <c r="B33" s="19" t="s">
        <v>36</v>
      </c>
      <c r="C33" s="106">
        <v>397</v>
      </c>
      <c r="D33" s="78">
        <v>0</v>
      </c>
      <c r="E33" s="78">
        <v>0</v>
      </c>
      <c r="F33" s="106">
        <v>29</v>
      </c>
      <c r="G33" s="106">
        <v>2381</v>
      </c>
      <c r="H33" s="78">
        <v>0</v>
      </c>
      <c r="I33" s="78">
        <v>33</v>
      </c>
      <c r="J33" s="78">
        <v>6745</v>
      </c>
      <c r="K33" s="80">
        <f t="shared" ref="K33:K40" si="7">SUM(C33:J33)</f>
        <v>9585</v>
      </c>
      <c r="L33" s="77"/>
      <c r="R33" s="49" t="s">
        <v>117</v>
      </c>
      <c r="S33" s="50">
        <f>L4</f>
        <v>0</v>
      </c>
      <c r="T33" s="130">
        <f t="shared" si="6"/>
        <v>0</v>
      </c>
      <c r="U33" s="53"/>
    </row>
    <row r="34" spans="2:39" x14ac:dyDescent="0.25">
      <c r="B34" s="19" t="s">
        <v>37</v>
      </c>
      <c r="C34" s="78">
        <v>301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3928</v>
      </c>
      <c r="J34" s="78">
        <v>2685</v>
      </c>
      <c r="K34" s="80">
        <f t="shared" si="7"/>
        <v>6914</v>
      </c>
      <c r="L34" s="77"/>
      <c r="R34" s="49" t="s">
        <v>118</v>
      </c>
      <c r="S34" s="50">
        <f>L5</f>
        <v>3182</v>
      </c>
      <c r="T34" s="130">
        <f t="shared" si="6"/>
        <v>3.1819999999999999</v>
      </c>
      <c r="U34" s="53"/>
    </row>
    <row r="35" spans="2:39" x14ac:dyDescent="0.25">
      <c r="B35" s="19" t="s">
        <v>38</v>
      </c>
      <c r="C35" s="78">
        <v>62699</v>
      </c>
      <c r="D35" s="78">
        <v>0</v>
      </c>
      <c r="E35" s="78">
        <v>0</v>
      </c>
      <c r="F35" s="78">
        <v>5588</v>
      </c>
      <c r="G35" s="78">
        <v>0</v>
      </c>
      <c r="H35" s="78">
        <v>0</v>
      </c>
      <c r="I35" s="78">
        <v>0</v>
      </c>
      <c r="J35" s="78">
        <v>280</v>
      </c>
      <c r="K35" s="80">
        <f t="shared" si="7"/>
        <v>68567</v>
      </c>
      <c r="L35" s="77"/>
      <c r="R35" s="49" t="s">
        <v>119</v>
      </c>
      <c r="S35" s="50">
        <f>L15</f>
        <v>0</v>
      </c>
      <c r="T35" s="130">
        <f t="shared" si="6"/>
        <v>0</v>
      </c>
      <c r="U35" s="53"/>
    </row>
    <row r="36" spans="2:39" ht="15.75" thickBot="1" x14ac:dyDescent="0.3">
      <c r="B36" s="19" t="s">
        <v>39</v>
      </c>
      <c r="C36" s="78">
        <v>122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4262</v>
      </c>
      <c r="J36" s="78">
        <v>18776</v>
      </c>
      <c r="K36" s="80">
        <f t="shared" si="7"/>
        <v>23160</v>
      </c>
      <c r="L36" s="77"/>
      <c r="R36" s="54" t="s">
        <v>120</v>
      </c>
      <c r="S36" s="131">
        <f>L16</f>
        <v>0</v>
      </c>
      <c r="T36" s="132">
        <f t="shared" si="6"/>
        <v>0</v>
      </c>
    </row>
    <row r="37" spans="2:39" x14ac:dyDescent="0.25">
      <c r="B37" s="19" t="s">
        <v>40</v>
      </c>
      <c r="C37" s="106">
        <v>434</v>
      </c>
      <c r="D37" s="78">
        <v>0</v>
      </c>
      <c r="E37" s="78">
        <v>0</v>
      </c>
      <c r="F37" s="78">
        <v>0</v>
      </c>
      <c r="G37" s="106">
        <v>20532</v>
      </c>
      <c r="H37" s="78">
        <v>0</v>
      </c>
      <c r="I37" s="78">
        <v>2439</v>
      </c>
      <c r="J37" s="78">
        <v>34803</v>
      </c>
      <c r="K37" s="80">
        <f t="shared" si="7"/>
        <v>58208</v>
      </c>
      <c r="L37" s="77"/>
      <c r="R37" s="125" t="s">
        <v>121</v>
      </c>
      <c r="S37" s="133">
        <f>SUM(S30:S36)</f>
        <v>13134.166774193545</v>
      </c>
      <c r="T37" s="134">
        <f>SUM(T30:T36)</f>
        <v>13.134166774193547</v>
      </c>
      <c r="U37"/>
    </row>
    <row r="38" spans="2:39" x14ac:dyDescent="0.25">
      <c r="B38" s="19" t="s">
        <v>41</v>
      </c>
      <c r="C38" s="78">
        <v>1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13690</v>
      </c>
      <c r="J38" s="78">
        <v>2604</v>
      </c>
      <c r="K38" s="80">
        <f t="shared" si="7"/>
        <v>16295</v>
      </c>
      <c r="L38" s="108"/>
      <c r="N38" s="6"/>
      <c r="O38" s="6"/>
      <c r="P38" s="6"/>
      <c r="Q38" s="6"/>
      <c r="R38" s="125" t="s">
        <v>122</v>
      </c>
      <c r="S38"/>
      <c r="T38" s="58">
        <f>T28+T37+T21</f>
        <v>204.28616677419353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2:39" x14ac:dyDescent="0.25">
      <c r="B39" s="19" t="s">
        <v>42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5072</v>
      </c>
      <c r="K39" s="80">
        <f t="shared" si="7"/>
        <v>5072</v>
      </c>
      <c r="L39" s="77"/>
      <c r="R39" s="1" t="s">
        <v>123</v>
      </c>
      <c r="S39"/>
      <c r="T39" s="135">
        <f>T19-T38</f>
        <v>0</v>
      </c>
      <c r="U39" s="136"/>
    </row>
    <row r="40" spans="2:39" x14ac:dyDescent="0.25">
      <c r="B40" s="19" t="s">
        <v>43</v>
      </c>
      <c r="C40" s="72">
        <f>SUM(C32:C39)</f>
        <v>65177</v>
      </c>
      <c r="D40" s="72">
        <f t="shared" ref="D40:J40" si="8">SUM(D32:D39)</f>
        <v>0</v>
      </c>
      <c r="E40" s="72">
        <f t="shared" si="8"/>
        <v>0</v>
      </c>
      <c r="F40" s="72">
        <f t="shared" si="8"/>
        <v>5706</v>
      </c>
      <c r="G40" s="72">
        <f t="shared" si="8"/>
        <v>22913</v>
      </c>
      <c r="H40" s="72">
        <f t="shared" si="8"/>
        <v>0</v>
      </c>
      <c r="I40" s="72">
        <f t="shared" si="8"/>
        <v>24352</v>
      </c>
      <c r="J40" s="72">
        <f t="shared" si="8"/>
        <v>73004</v>
      </c>
      <c r="K40" s="80">
        <f t="shared" si="7"/>
        <v>191152</v>
      </c>
      <c r="L40" s="77"/>
    </row>
    <row r="41" spans="2:39" x14ac:dyDescent="0.25">
      <c r="B41" s="19" t="s">
        <v>44</v>
      </c>
      <c r="C41" s="72">
        <f>SUM(C37:C39)</f>
        <v>435</v>
      </c>
      <c r="D41" s="72">
        <f t="shared" ref="D41:K41" si="9">SUM(D37:D39)</f>
        <v>0</v>
      </c>
      <c r="E41" s="72">
        <f t="shared" si="9"/>
        <v>0</v>
      </c>
      <c r="F41" s="72">
        <f t="shared" si="9"/>
        <v>0</v>
      </c>
      <c r="G41" s="72">
        <f t="shared" si="9"/>
        <v>20532</v>
      </c>
      <c r="H41" s="72">
        <f t="shared" si="9"/>
        <v>0</v>
      </c>
      <c r="I41" s="72">
        <f t="shared" si="9"/>
        <v>16129</v>
      </c>
      <c r="J41" s="72">
        <f t="shared" si="9"/>
        <v>42479</v>
      </c>
      <c r="K41" s="72">
        <f t="shared" si="9"/>
        <v>79575</v>
      </c>
      <c r="L41" s="77"/>
    </row>
    <row r="42" spans="2:39" x14ac:dyDescent="0.25">
      <c r="B42" s="24"/>
      <c r="C42" s="65"/>
      <c r="D42" s="65"/>
      <c r="E42" s="65"/>
      <c r="F42" s="65"/>
      <c r="G42" s="65"/>
      <c r="H42" s="65"/>
      <c r="I42" s="65"/>
      <c r="J42" s="65"/>
      <c r="K42" s="66"/>
      <c r="L42" s="67"/>
    </row>
    <row r="43" spans="2:39" ht="15.75" thickBot="1" x14ac:dyDescent="0.3">
      <c r="B43" s="43"/>
      <c r="C43" s="68"/>
      <c r="D43" s="68"/>
      <c r="E43" s="68"/>
      <c r="F43" s="68"/>
      <c r="G43" s="68"/>
      <c r="H43" s="68"/>
      <c r="I43" s="68"/>
      <c r="J43" s="68"/>
      <c r="K43" s="69"/>
      <c r="L43" s="67"/>
    </row>
  </sheetData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3"/>
  <sheetViews>
    <sheetView zoomScale="60" zoomScaleNormal="60" workbookViewId="0">
      <selection activeCell="K20" sqref="K20:L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8.85546875" style="1" bestFit="1" customWidth="1"/>
    <col min="4" max="4" width="14.5703125" style="1" bestFit="1" customWidth="1"/>
    <col min="5" max="5" width="11.7109375" style="1" bestFit="1" customWidth="1"/>
    <col min="6" max="6" width="10.7109375" style="1" customWidth="1"/>
    <col min="7" max="7" width="15" style="1" bestFit="1" customWidth="1"/>
    <col min="8" max="8" width="9.28515625" style="1" bestFit="1" customWidth="1"/>
    <col min="9" max="9" width="27.140625" style="1" customWidth="1"/>
    <col min="10" max="10" width="17.7109375" style="1" customWidth="1"/>
    <col min="11" max="11" width="20.42578125" style="1" customWidth="1"/>
    <col min="12" max="12" width="21.85546875" style="1" customWidth="1"/>
    <col min="13" max="13" width="25.5703125" style="1" customWidth="1"/>
    <col min="14" max="14" width="9.140625" style="1"/>
    <col min="15" max="15" width="10.7109375" style="1" bestFit="1" customWidth="1"/>
    <col min="16" max="17" width="9.140625" style="1"/>
    <col min="18" max="18" width="39" style="1" bestFit="1" customWidth="1"/>
    <col min="19" max="19" width="13" style="1" bestFit="1" customWidth="1"/>
    <col min="20" max="16384" width="9.140625" style="1"/>
  </cols>
  <sheetData>
    <row r="1" spans="2:22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4"/>
      <c r="I1" s="5" t="s">
        <v>2</v>
      </c>
      <c r="J1" s="5" t="s">
        <v>3</v>
      </c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1"/>
    </row>
    <row r="2" spans="2:22" s="7" customFormat="1" ht="60" x14ac:dyDescent="0.25">
      <c r="B2" s="8"/>
      <c r="C2" s="9" t="s">
        <v>58</v>
      </c>
      <c r="D2" s="9" t="s">
        <v>53</v>
      </c>
      <c r="E2" s="9" t="s">
        <v>56</v>
      </c>
      <c r="F2" s="10" t="s">
        <v>57</v>
      </c>
      <c r="G2" s="10" t="s">
        <v>102</v>
      </c>
      <c r="H2" s="10" t="s">
        <v>25</v>
      </c>
      <c r="I2" s="11" t="s">
        <v>4</v>
      </c>
      <c r="J2" s="11" t="s">
        <v>5</v>
      </c>
      <c r="L2" s="12" t="s">
        <v>6</v>
      </c>
      <c r="M2" s="13"/>
      <c r="N2" s="6"/>
      <c r="O2" s="6"/>
      <c r="P2" s="6"/>
      <c r="Q2" s="6"/>
      <c r="R2" s="6"/>
      <c r="S2" s="6"/>
      <c r="T2" s="6"/>
      <c r="U2" s="6"/>
      <c r="V2" s="1"/>
    </row>
    <row r="3" spans="2:22" s="7" customFormat="1" x14ac:dyDescent="0.25">
      <c r="B3" s="14" t="s">
        <v>7</v>
      </c>
      <c r="C3" s="15"/>
      <c r="D3" s="15"/>
      <c r="E3" s="15"/>
      <c r="F3" s="15"/>
      <c r="G3" s="15"/>
      <c r="H3" s="15"/>
      <c r="I3" s="16"/>
      <c r="J3" s="16"/>
      <c r="K3" s="17"/>
      <c r="L3" s="18"/>
      <c r="M3" s="1"/>
      <c r="N3" s="6"/>
      <c r="O3" s="6"/>
      <c r="P3" s="6"/>
      <c r="Q3" s="6"/>
      <c r="T3" s="7" t="s">
        <v>48</v>
      </c>
      <c r="V3" s="1"/>
    </row>
    <row r="4" spans="2:22" s="7" customFormat="1" x14ac:dyDescent="0.25">
      <c r="B4" s="19" t="s">
        <v>8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f>SUM(C4:H4)</f>
        <v>0</v>
      </c>
      <c r="J4" s="78">
        <v>0</v>
      </c>
      <c r="K4" s="137">
        <f>J4/(J4+J5)</f>
        <v>0</v>
      </c>
      <c r="L4" s="80">
        <f>I4-J4</f>
        <v>0</v>
      </c>
      <c r="M4" s="1"/>
      <c r="N4" s="6"/>
      <c r="O4" s="6"/>
      <c r="P4" s="6"/>
      <c r="Q4" s="6"/>
      <c r="R4" s="49" t="s">
        <v>103</v>
      </c>
      <c r="S4" s="21">
        <f>K20</f>
        <v>110986.12096774194</v>
      </c>
      <c r="T4" s="123">
        <f>S4/1000</f>
        <v>110.98612096774194</v>
      </c>
      <c r="U4" s="124"/>
      <c r="V4" s="1"/>
    </row>
    <row r="5" spans="2:22" s="7" customFormat="1" ht="17.25" x14ac:dyDescent="0.4">
      <c r="B5" s="19" t="s">
        <v>9</v>
      </c>
      <c r="C5" s="81">
        <v>700</v>
      </c>
      <c r="D5" s="77">
        <v>0</v>
      </c>
      <c r="E5" s="77">
        <v>0</v>
      </c>
      <c r="F5" s="77">
        <v>0</v>
      </c>
      <c r="G5" s="81">
        <v>50500</v>
      </c>
      <c r="H5" s="77">
        <v>0</v>
      </c>
      <c r="I5" s="163">
        <f t="shared" ref="I5:I10" si="0">SUM(C5:H5)</f>
        <v>51200</v>
      </c>
      <c r="J5" s="82">
        <v>44204</v>
      </c>
      <c r="K5" s="137">
        <f>J5/(J4+J5)</f>
        <v>1</v>
      </c>
      <c r="L5" s="80">
        <f>I5-J5</f>
        <v>6996</v>
      </c>
      <c r="M5" s="1"/>
      <c r="N5" s="6"/>
      <c r="O5" s="6"/>
      <c r="P5" s="6"/>
      <c r="Q5" s="6"/>
      <c r="R5" s="7" t="s">
        <v>104</v>
      </c>
      <c r="S5" s="21">
        <f>IF(J28&gt;0,0,J28)*-1</f>
        <v>35615.759999999995</v>
      </c>
      <c r="T5" s="123">
        <f>S5/1000</f>
        <v>35.615759999999995</v>
      </c>
      <c r="V5" s="1"/>
    </row>
    <row r="6" spans="2:22" s="7" customFormat="1" x14ac:dyDescent="0.25">
      <c r="B6" s="19" t="s">
        <v>10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f t="shared" si="0"/>
        <v>0</v>
      </c>
      <c r="J6" s="78">
        <v>0</v>
      </c>
      <c r="K6" s="79"/>
      <c r="L6" s="80"/>
      <c r="M6" s="1"/>
      <c r="N6" s="6"/>
      <c r="O6" s="6"/>
      <c r="P6" s="6"/>
      <c r="Q6" s="6"/>
      <c r="R6" s="49" t="s">
        <v>50</v>
      </c>
      <c r="S6" s="123">
        <f>G10+G20+G40</f>
        <v>93581</v>
      </c>
      <c r="T6" s="123">
        <f>S6/1000</f>
        <v>93.581000000000003</v>
      </c>
      <c r="U6" s="124"/>
      <c r="V6" s="1"/>
    </row>
    <row r="7" spans="2:22" s="7" customFormat="1" x14ac:dyDescent="0.25">
      <c r="B7" s="19" t="s">
        <v>11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f t="shared" si="0"/>
        <v>0</v>
      </c>
      <c r="J7" s="78">
        <v>0</v>
      </c>
      <c r="K7" s="79"/>
      <c r="L7" s="80"/>
      <c r="M7" s="1"/>
      <c r="N7" s="6"/>
      <c r="O7" s="6"/>
      <c r="P7" s="6"/>
      <c r="Q7" s="6"/>
      <c r="R7" s="49" t="s">
        <v>53</v>
      </c>
      <c r="S7" s="123">
        <f>D10+D20</f>
        <v>0</v>
      </c>
      <c r="T7" s="123">
        <f t="shared" ref="T7:T14" si="1">S7/1000</f>
        <v>0</v>
      </c>
      <c r="U7" s="124"/>
      <c r="V7" s="1"/>
    </row>
    <row r="8" spans="2:22" s="7" customFormat="1" x14ac:dyDescent="0.25">
      <c r="B8" s="19" t="s">
        <v>12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f t="shared" si="0"/>
        <v>0</v>
      </c>
      <c r="J8" s="78">
        <v>0</v>
      </c>
      <c r="K8" s="79"/>
      <c r="L8" s="80"/>
      <c r="M8" s="1"/>
      <c r="N8" s="6"/>
      <c r="O8" s="6"/>
      <c r="P8" s="6"/>
      <c r="Q8" s="6"/>
      <c r="S8" s="123"/>
      <c r="T8" s="123">
        <f t="shared" si="1"/>
        <v>0</v>
      </c>
      <c r="U8" s="124"/>
      <c r="V8" s="1"/>
    </row>
    <row r="9" spans="2:22" s="7" customFormat="1" x14ac:dyDescent="0.25">
      <c r="B9" s="19" t="s">
        <v>13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f t="shared" si="0"/>
        <v>0</v>
      </c>
      <c r="J9" s="78">
        <v>7296</v>
      </c>
      <c r="K9" s="79"/>
      <c r="L9" s="80"/>
      <c r="M9" s="1"/>
      <c r="N9" s="6"/>
      <c r="O9" s="6"/>
      <c r="P9" s="6"/>
      <c r="Q9" s="6"/>
      <c r="R9" s="125" t="s">
        <v>97</v>
      </c>
      <c r="S9" s="123">
        <f>D40</f>
        <v>84314.5</v>
      </c>
      <c r="T9" s="123">
        <f t="shared" si="1"/>
        <v>84.314499999999995</v>
      </c>
      <c r="U9" s="124"/>
      <c r="V9" s="1"/>
    </row>
    <row r="10" spans="2:22" s="7" customFormat="1" ht="17.25" x14ac:dyDescent="0.4">
      <c r="B10" s="19" t="s">
        <v>14</v>
      </c>
      <c r="C10" s="82">
        <f t="shared" ref="C10:J10" si="2">SUM(C4:C9)</f>
        <v>700</v>
      </c>
      <c r="D10" s="78">
        <f t="shared" si="2"/>
        <v>0</v>
      </c>
      <c r="E10" s="78">
        <f t="shared" si="2"/>
        <v>0</v>
      </c>
      <c r="F10" s="78">
        <f t="shared" si="2"/>
        <v>0</v>
      </c>
      <c r="G10" s="82">
        <f t="shared" si="2"/>
        <v>50500</v>
      </c>
      <c r="H10" s="78">
        <f t="shared" si="2"/>
        <v>0</v>
      </c>
      <c r="I10" s="163">
        <f t="shared" si="0"/>
        <v>51200</v>
      </c>
      <c r="J10" s="82">
        <f t="shared" si="2"/>
        <v>51500</v>
      </c>
      <c r="K10" s="79"/>
      <c r="L10" s="80">
        <f>SUM(L4:L9)</f>
        <v>6996</v>
      </c>
      <c r="M10" s="1"/>
      <c r="N10" s="6"/>
      <c r="O10" s="6"/>
      <c r="P10" s="6"/>
      <c r="Q10" s="6"/>
      <c r="R10" s="49" t="s">
        <v>55</v>
      </c>
      <c r="S10" s="123"/>
      <c r="T10" s="123">
        <f t="shared" si="1"/>
        <v>0</v>
      </c>
      <c r="U10" s="124"/>
      <c r="V10" s="1"/>
    </row>
    <row r="11" spans="2:22" s="7" customFormat="1" x14ac:dyDescent="0.25">
      <c r="B11" s="22"/>
      <c r="C11" s="83"/>
      <c r="D11" s="83"/>
      <c r="E11" s="83"/>
      <c r="F11" s="83"/>
      <c r="G11" s="83"/>
      <c r="H11" s="83"/>
      <c r="I11" s="83"/>
      <c r="J11" s="83"/>
      <c r="K11" s="84"/>
      <c r="L11" s="85"/>
      <c r="M11" s="1"/>
      <c r="N11" s="6"/>
      <c r="O11" s="6"/>
      <c r="P11" s="6"/>
      <c r="Q11" s="6"/>
      <c r="R11" s="49" t="s">
        <v>56</v>
      </c>
      <c r="S11" s="123">
        <f>E10+E20+E40</f>
        <v>251.5</v>
      </c>
      <c r="T11" s="123">
        <f t="shared" si="1"/>
        <v>0.2515</v>
      </c>
      <c r="U11" s="124"/>
      <c r="V11" s="1"/>
    </row>
    <row r="12" spans="2:22" s="7" customFormat="1" x14ac:dyDescent="0.25">
      <c r="B12" s="23" t="s">
        <v>15</v>
      </c>
      <c r="C12" s="83"/>
      <c r="D12" s="83"/>
      <c r="E12" s="83"/>
      <c r="F12" s="83"/>
      <c r="G12" s="83"/>
      <c r="H12" s="83"/>
      <c r="I12" s="79"/>
      <c r="J12" s="79">
        <v>0</v>
      </c>
      <c r="K12" s="84"/>
      <c r="L12" s="85"/>
      <c r="M12" s="1"/>
      <c r="N12" s="6"/>
      <c r="O12" s="6"/>
      <c r="P12" s="6"/>
      <c r="Q12" s="6"/>
      <c r="R12" s="49" t="s">
        <v>25</v>
      </c>
      <c r="S12" s="123">
        <f>H10+H20+H40</f>
        <v>0</v>
      </c>
      <c r="T12" s="123">
        <f t="shared" si="1"/>
        <v>0</v>
      </c>
      <c r="U12" s="124"/>
      <c r="V12" s="1"/>
    </row>
    <row r="13" spans="2:22" x14ac:dyDescent="0.25">
      <c r="B13" s="24"/>
      <c r="C13" s="78"/>
      <c r="D13" s="78"/>
      <c r="E13" s="78"/>
      <c r="F13" s="78"/>
      <c r="G13" s="78"/>
      <c r="H13" s="78"/>
      <c r="I13" s="78"/>
      <c r="J13" s="78"/>
      <c r="K13" s="78"/>
      <c r="L13" s="86"/>
      <c r="M13" s="6"/>
      <c r="R13" s="49" t="s">
        <v>57</v>
      </c>
      <c r="S13" s="123">
        <f>F10+F20+F40</f>
        <v>10197</v>
      </c>
      <c r="T13" s="123">
        <f t="shared" si="1"/>
        <v>10.196999999999999</v>
      </c>
      <c r="U13" s="124"/>
    </row>
    <row r="14" spans="2:22" ht="18.75" x14ac:dyDescent="0.3">
      <c r="B14" s="26" t="s">
        <v>16</v>
      </c>
      <c r="C14" s="87"/>
      <c r="D14" s="87"/>
      <c r="E14" s="87"/>
      <c r="F14" s="87"/>
      <c r="G14" s="87"/>
      <c r="H14" s="87"/>
      <c r="I14" s="87"/>
      <c r="J14" s="88" t="s">
        <v>17</v>
      </c>
      <c r="K14" s="89" t="s">
        <v>18</v>
      </c>
      <c r="L14" s="90"/>
      <c r="M14" s="27" t="s">
        <v>19</v>
      </c>
      <c r="N14" s="28"/>
      <c r="R14" s="49" t="s">
        <v>58</v>
      </c>
      <c r="S14" s="123">
        <f>C10+C20+C40</f>
        <v>211247.11111111112</v>
      </c>
      <c r="T14" s="123">
        <f t="shared" si="1"/>
        <v>211.24711111111111</v>
      </c>
      <c r="U14" s="124"/>
    </row>
    <row r="15" spans="2:22" x14ac:dyDescent="0.25">
      <c r="B15" s="19" t="s">
        <v>20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91">
        <f>J15/(1-M15)</f>
        <v>0</v>
      </c>
      <c r="L15" s="92">
        <f>I15-K15</f>
        <v>0</v>
      </c>
      <c r="M15" s="29">
        <v>0.03</v>
      </c>
      <c r="O15" s="30"/>
      <c r="R15" s="125" t="s">
        <v>106</v>
      </c>
      <c r="S15" s="123">
        <f>SUM(S4:S14)</f>
        <v>546192.99207885307</v>
      </c>
      <c r="T15" s="123">
        <f>SUM(T4:T14)</f>
        <v>546.19299207885308</v>
      </c>
      <c r="U15" s="124"/>
    </row>
    <row r="16" spans="2:22" x14ac:dyDescent="0.25">
      <c r="B16" s="19" t="s">
        <v>21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91">
        <f>J16/(1-M16)</f>
        <v>0</v>
      </c>
      <c r="L16" s="92">
        <f>I16-K16</f>
        <v>0</v>
      </c>
      <c r="M16" s="29">
        <v>0.03</v>
      </c>
      <c r="O16" s="30"/>
      <c r="R16" t="s">
        <v>107</v>
      </c>
      <c r="S16" s="57">
        <f>J8</f>
        <v>0</v>
      </c>
      <c r="T16" s="57">
        <f>S16/1000</f>
        <v>0</v>
      </c>
      <c r="U16" s="124"/>
    </row>
    <row r="17" spans="2:22" x14ac:dyDescent="0.25">
      <c r="B17" s="19" t="s">
        <v>22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91">
        <f>J17/(1-M17)</f>
        <v>0</v>
      </c>
      <c r="L17" s="92">
        <f>I17-K17</f>
        <v>0</v>
      </c>
      <c r="M17" s="29">
        <v>0.03</v>
      </c>
      <c r="O17" s="30"/>
      <c r="R17" t="s">
        <v>108</v>
      </c>
      <c r="S17" s="57">
        <f>J9</f>
        <v>7296</v>
      </c>
      <c r="T17" s="57">
        <f t="shared" ref="T17:T18" si="3">S17/1000</f>
        <v>7.2960000000000003</v>
      </c>
      <c r="U17" s="124"/>
      <c r="V17" s="6"/>
    </row>
    <row r="18" spans="2:22" x14ac:dyDescent="0.25">
      <c r="B18" s="19" t="s">
        <v>23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16135</v>
      </c>
      <c r="K18" s="91">
        <f>J18/(1-M18)</f>
        <v>16265.120967741936</v>
      </c>
      <c r="L18" s="92"/>
      <c r="M18" s="31">
        <v>8.0000000000000002E-3</v>
      </c>
      <c r="O18" s="30"/>
      <c r="R18" t="s">
        <v>109</v>
      </c>
      <c r="S18" s="57">
        <f>J6+J7</f>
        <v>0</v>
      </c>
      <c r="T18" s="57">
        <f t="shared" si="3"/>
        <v>0</v>
      </c>
      <c r="U18"/>
    </row>
    <row r="19" spans="2:22" x14ac:dyDescent="0.25">
      <c r="B19" s="19" t="s">
        <v>24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94721</v>
      </c>
      <c r="K19" s="91">
        <f>J19/(1-M19)</f>
        <v>94721</v>
      </c>
      <c r="L19" s="92"/>
      <c r="M19" s="1">
        <v>0</v>
      </c>
      <c r="O19" s="30"/>
      <c r="R19" t="s">
        <v>110</v>
      </c>
      <c r="S19" s="57">
        <f>SUM(S15:S18)</f>
        <v>553488.99207885307</v>
      </c>
      <c r="T19" s="57">
        <f>SUM(T15:T18)</f>
        <v>553.48899207885313</v>
      </c>
      <c r="U19"/>
    </row>
    <row r="20" spans="2:22" x14ac:dyDescent="0.25">
      <c r="B20" s="19" t="s">
        <v>14</v>
      </c>
      <c r="C20" s="78">
        <f t="shared" ref="C20:I20" si="4">SUM(C15:C19)</f>
        <v>0</v>
      </c>
      <c r="D20" s="78">
        <f t="shared" si="4"/>
        <v>0</v>
      </c>
      <c r="E20" s="78">
        <f t="shared" si="4"/>
        <v>0</v>
      </c>
      <c r="F20" s="78">
        <f t="shared" si="4"/>
        <v>0</v>
      </c>
      <c r="G20" s="78">
        <f t="shared" si="4"/>
        <v>0</v>
      </c>
      <c r="H20" s="78">
        <f t="shared" si="4"/>
        <v>0</v>
      </c>
      <c r="I20" s="78">
        <f t="shared" si="4"/>
        <v>0</v>
      </c>
      <c r="J20" s="78">
        <f>SUM(J15:J19)</f>
        <v>110856</v>
      </c>
      <c r="K20" s="93">
        <f>SUM(K15:K19)</f>
        <v>110986.12096774194</v>
      </c>
      <c r="L20" s="93">
        <f>SUM(L15:L19)</f>
        <v>0</v>
      </c>
      <c r="M20" s="32"/>
      <c r="N20" s="33"/>
      <c r="O20" s="30"/>
      <c r="R20"/>
      <c r="S20"/>
      <c r="T20"/>
      <c r="U20"/>
    </row>
    <row r="21" spans="2:22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7"/>
      <c r="L21" s="86"/>
      <c r="M21" s="30"/>
      <c r="R21" s="19" t="s">
        <v>111</v>
      </c>
      <c r="S21" s="21">
        <f>IF(J28&lt;0,0,J28)</f>
        <v>0</v>
      </c>
      <c r="T21" s="123">
        <f t="shared" ref="T21:T27" si="5">S21/1000</f>
        <v>0</v>
      </c>
      <c r="U21" s="124"/>
    </row>
    <row r="22" spans="2:22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86"/>
      <c r="R22" s="19" t="s">
        <v>35</v>
      </c>
      <c r="S22" s="126">
        <f>K32</f>
        <v>6344</v>
      </c>
      <c r="T22" s="123">
        <f t="shared" si="5"/>
        <v>6.3440000000000003</v>
      </c>
      <c r="U22" s="124"/>
    </row>
    <row r="23" spans="2:22" ht="15.75" thickBot="1" x14ac:dyDescent="0.3">
      <c r="B23" s="35" t="s">
        <v>25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R23" s="19" t="s">
        <v>36</v>
      </c>
      <c r="S23" s="126">
        <f>K33</f>
        <v>224606.11111111112</v>
      </c>
      <c r="T23" s="123">
        <f t="shared" si="5"/>
        <v>224.60611111111112</v>
      </c>
      <c r="U23" s="124"/>
    </row>
    <row r="24" spans="2:22" x14ac:dyDescent="0.25">
      <c r="C24" s="77"/>
      <c r="D24" s="77"/>
      <c r="E24" s="77"/>
      <c r="F24" s="77"/>
      <c r="G24" s="77"/>
      <c r="H24" s="77"/>
      <c r="I24" s="77"/>
      <c r="J24" s="77"/>
      <c r="K24" s="77"/>
      <c r="L24" s="77"/>
      <c r="R24" s="19" t="s">
        <v>37</v>
      </c>
      <c r="S24" s="126">
        <f>K34</f>
        <v>23579.229378642696</v>
      </c>
      <c r="T24" s="123">
        <f t="shared" si="5"/>
        <v>23.579229378642697</v>
      </c>
      <c r="U24" s="124"/>
    </row>
    <row r="25" spans="2:22" ht="15.75" thickBot="1" x14ac:dyDescent="0.3">
      <c r="C25" s="77"/>
      <c r="D25" s="77"/>
      <c r="E25" s="77"/>
      <c r="F25" s="77"/>
      <c r="G25" s="77"/>
      <c r="H25" s="77"/>
      <c r="I25" s="77"/>
      <c r="J25" s="77"/>
      <c r="K25" s="77"/>
      <c r="L25" s="77"/>
      <c r="R25" s="19" t="s">
        <v>38</v>
      </c>
      <c r="S25" s="126">
        <f>K35</f>
        <v>118964</v>
      </c>
      <c r="T25" s="123">
        <f t="shared" si="5"/>
        <v>118.964</v>
      </c>
      <c r="U25" s="124"/>
    </row>
    <row r="26" spans="2:22" x14ac:dyDescent="0.25">
      <c r="B26" s="8"/>
      <c r="C26" s="96"/>
      <c r="D26" s="96"/>
      <c r="E26" s="96"/>
      <c r="F26" s="96"/>
      <c r="G26" s="96"/>
      <c r="H26" s="77"/>
      <c r="I26" s="97" t="s">
        <v>26</v>
      </c>
      <c r="J26" s="98" t="s">
        <v>27</v>
      </c>
      <c r="K26" s="77"/>
      <c r="L26" s="77"/>
      <c r="M26" s="38" t="s">
        <v>28</v>
      </c>
      <c r="R26" s="19" t="s">
        <v>39</v>
      </c>
      <c r="S26" s="126">
        <f>K36</f>
        <v>26840.770621357304</v>
      </c>
      <c r="T26" s="123">
        <f t="shared" si="5"/>
        <v>26.840770621357304</v>
      </c>
      <c r="U26" s="124"/>
    </row>
    <row r="27" spans="2:22" x14ac:dyDescent="0.25">
      <c r="B27" s="39" t="s">
        <v>29</v>
      </c>
      <c r="C27" s="78"/>
      <c r="D27" s="78"/>
      <c r="E27" s="78"/>
      <c r="F27" s="78"/>
      <c r="G27" s="78"/>
      <c r="H27" s="77"/>
      <c r="I27" s="72">
        <f>J10-I40</f>
        <v>5200</v>
      </c>
      <c r="J27" s="80">
        <f>J40*8%</f>
        <v>10849.76</v>
      </c>
      <c r="K27" s="77"/>
      <c r="L27" s="77"/>
      <c r="M27" s="40">
        <f>100-(I40/J10*100)</f>
        <v>10.097087378640779</v>
      </c>
      <c r="R27" s="19" t="s">
        <v>44</v>
      </c>
      <c r="S27" s="126">
        <f>K41</f>
        <v>129979</v>
      </c>
      <c r="T27" s="123">
        <f t="shared" si="5"/>
        <v>129.97900000000001</v>
      </c>
      <c r="U27" s="124"/>
    </row>
    <row r="28" spans="2:22" ht="15.75" thickBot="1" x14ac:dyDescent="0.3">
      <c r="B28" s="35" t="s">
        <v>30</v>
      </c>
      <c r="C28" s="94"/>
      <c r="D28" s="94"/>
      <c r="E28" s="94"/>
      <c r="F28" s="94"/>
      <c r="G28" s="94"/>
      <c r="H28" s="94"/>
      <c r="I28" s="99">
        <f>I40+I27-J10</f>
        <v>0</v>
      </c>
      <c r="J28" s="122">
        <f>J20-J27-J40</f>
        <v>-35615.759999999995</v>
      </c>
      <c r="K28" s="77"/>
      <c r="L28" s="77"/>
      <c r="M28" s="1" t="str">
        <f>IF(M27&gt;10,"OBS! HÖGA FÖRLUSTER","OK")</f>
        <v>OBS! HÖGA FÖRLUSTER</v>
      </c>
      <c r="R28" s="19" t="s">
        <v>112</v>
      </c>
      <c r="S28" s="58">
        <f>SUM(S22:S27)</f>
        <v>530313.11111111112</v>
      </c>
      <c r="T28" s="58">
        <f>SUM(T22:T27)</f>
        <v>530.31311111111108</v>
      </c>
      <c r="U28" s="124"/>
    </row>
    <row r="29" spans="2:22" ht="15.75" thickBot="1" x14ac:dyDescent="0.3">
      <c r="C29" s="77"/>
      <c r="D29" s="77"/>
      <c r="E29" s="77"/>
      <c r="F29" s="77"/>
      <c r="G29" s="77"/>
      <c r="H29" s="77"/>
      <c r="I29" s="77"/>
      <c r="J29" s="77"/>
      <c r="K29" s="77"/>
      <c r="L29" s="77"/>
      <c r="R29" s="127" t="s">
        <v>113</v>
      </c>
      <c r="S29" s="128"/>
      <c r="T29" s="129">
        <f t="shared" ref="T29:T36" si="6">S29/1000</f>
        <v>0</v>
      </c>
      <c r="U29" s="48"/>
    </row>
    <row r="30" spans="2:22" ht="15.75" thickBot="1" x14ac:dyDescent="0.3">
      <c r="B30" s="8"/>
      <c r="C30" s="100" t="s">
        <v>0</v>
      </c>
      <c r="D30" s="100"/>
      <c r="E30" s="100"/>
      <c r="F30" s="100" t="s">
        <v>1</v>
      </c>
      <c r="G30" s="100"/>
      <c r="H30" s="96"/>
      <c r="I30" s="96"/>
      <c r="J30" s="96"/>
      <c r="K30" s="101"/>
      <c r="L30" s="77"/>
      <c r="R30" s="49" t="s">
        <v>114</v>
      </c>
      <c r="S30" s="50">
        <f>J27</f>
        <v>10849.76</v>
      </c>
      <c r="T30" s="130">
        <f t="shared" si="6"/>
        <v>10.84976</v>
      </c>
      <c r="U30" s="53"/>
    </row>
    <row r="31" spans="2:22" ht="45" x14ac:dyDescent="0.25">
      <c r="B31" s="41" t="s">
        <v>31</v>
      </c>
      <c r="C31" s="102" t="s">
        <v>58</v>
      </c>
      <c r="D31" s="102" t="s">
        <v>97</v>
      </c>
      <c r="E31" s="102" t="s">
        <v>56</v>
      </c>
      <c r="F31" s="103" t="s">
        <v>57</v>
      </c>
      <c r="G31" s="103" t="s">
        <v>102</v>
      </c>
      <c r="H31" s="103" t="s">
        <v>25</v>
      </c>
      <c r="I31" s="104" t="s">
        <v>32</v>
      </c>
      <c r="J31" s="104" t="s">
        <v>33</v>
      </c>
      <c r="K31" s="105" t="s">
        <v>34</v>
      </c>
      <c r="L31" s="77"/>
      <c r="R31" s="49" t="s">
        <v>115</v>
      </c>
      <c r="S31" s="50">
        <f>I27</f>
        <v>5200</v>
      </c>
      <c r="T31" s="130">
        <f t="shared" si="6"/>
        <v>5.2</v>
      </c>
      <c r="U31" s="53"/>
    </row>
    <row r="32" spans="2:22" x14ac:dyDescent="0.25">
      <c r="B32" s="19" t="s">
        <v>35</v>
      </c>
      <c r="C32" s="78">
        <v>1858</v>
      </c>
      <c r="D32" s="78">
        <v>0</v>
      </c>
      <c r="E32" s="78">
        <v>0</v>
      </c>
      <c r="F32" s="78">
        <v>202</v>
      </c>
      <c r="G32" s="78">
        <v>0</v>
      </c>
      <c r="H32" s="78">
        <v>0</v>
      </c>
      <c r="I32" s="78">
        <v>0</v>
      </c>
      <c r="J32" s="78">
        <v>4284</v>
      </c>
      <c r="K32" s="80">
        <f>SUM(C32:J32)</f>
        <v>6344</v>
      </c>
      <c r="L32" s="77"/>
      <c r="R32" s="49" t="s">
        <v>116</v>
      </c>
      <c r="S32" s="50">
        <f>K20-J20</f>
        <v>130.12096774193924</v>
      </c>
      <c r="T32" s="130">
        <f t="shared" si="6"/>
        <v>0.13012096774193924</v>
      </c>
      <c r="U32"/>
    </row>
    <row r="33" spans="2:39" ht="17.25" x14ac:dyDescent="0.4">
      <c r="B33" s="19" t="s">
        <v>36</v>
      </c>
      <c r="C33" s="82">
        <v>98318.111111111124</v>
      </c>
      <c r="D33" s="82">
        <v>84314.5</v>
      </c>
      <c r="E33" s="82">
        <v>251.5</v>
      </c>
      <c r="F33" s="78">
        <v>265</v>
      </c>
      <c r="G33" s="82">
        <v>0</v>
      </c>
      <c r="H33" s="78">
        <v>0</v>
      </c>
      <c r="I33" s="78">
        <v>10400</v>
      </c>
      <c r="J33" s="78">
        <v>31057</v>
      </c>
      <c r="K33" s="80">
        <f t="shared" ref="K33:K40" si="7">SUM(C33:J33)</f>
        <v>224606.11111111112</v>
      </c>
      <c r="L33" s="77"/>
      <c r="R33" s="49" t="s">
        <v>117</v>
      </c>
      <c r="S33" s="50">
        <f>L4</f>
        <v>0</v>
      </c>
      <c r="T33" s="130">
        <f t="shared" si="6"/>
        <v>0</v>
      </c>
      <c r="U33" s="53"/>
    </row>
    <row r="34" spans="2:39" ht="17.25" x14ac:dyDescent="0.4">
      <c r="B34" s="19" t="s">
        <v>37</v>
      </c>
      <c r="C34" s="78">
        <v>428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82">
        <v>4286.2293786426944</v>
      </c>
      <c r="J34" s="78">
        <v>18865</v>
      </c>
      <c r="K34" s="117">
        <f t="shared" si="7"/>
        <v>23579.229378642696</v>
      </c>
      <c r="L34" s="77"/>
      <c r="R34" s="49" t="s">
        <v>118</v>
      </c>
      <c r="S34" s="50">
        <f>L5</f>
        <v>6996</v>
      </c>
      <c r="T34" s="130">
        <f t="shared" si="6"/>
        <v>6.9960000000000004</v>
      </c>
      <c r="U34" s="53"/>
    </row>
    <row r="35" spans="2:39" x14ac:dyDescent="0.25">
      <c r="B35" s="19" t="s">
        <v>38</v>
      </c>
      <c r="C35" s="78">
        <v>108755</v>
      </c>
      <c r="D35" s="78">
        <v>0</v>
      </c>
      <c r="E35" s="78">
        <v>0</v>
      </c>
      <c r="F35" s="78">
        <v>9730</v>
      </c>
      <c r="G35" s="78">
        <v>0</v>
      </c>
      <c r="H35" s="78">
        <v>0</v>
      </c>
      <c r="I35" s="78">
        <v>0</v>
      </c>
      <c r="J35" s="78">
        <v>479</v>
      </c>
      <c r="K35" s="80">
        <f t="shared" si="7"/>
        <v>118964</v>
      </c>
      <c r="L35" s="77"/>
      <c r="R35" s="49" t="s">
        <v>119</v>
      </c>
      <c r="S35" s="50">
        <f>L15</f>
        <v>0</v>
      </c>
      <c r="T35" s="130">
        <f t="shared" si="6"/>
        <v>0</v>
      </c>
      <c r="U35" s="53"/>
    </row>
    <row r="36" spans="2:39" ht="18" thickBot="1" x14ac:dyDescent="0.45">
      <c r="B36" s="19" t="s">
        <v>39</v>
      </c>
      <c r="C36" s="78">
        <v>300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82">
        <v>4913.7706213573047</v>
      </c>
      <c r="J36" s="78">
        <v>21627</v>
      </c>
      <c r="K36" s="117">
        <f t="shared" si="7"/>
        <v>26840.770621357304</v>
      </c>
      <c r="L36" s="77"/>
      <c r="R36" s="54" t="s">
        <v>120</v>
      </c>
      <c r="S36" s="131">
        <f>L16</f>
        <v>0</v>
      </c>
      <c r="T36" s="132">
        <f t="shared" si="6"/>
        <v>0</v>
      </c>
    </row>
    <row r="37" spans="2:39" ht="17.25" x14ac:dyDescent="0.4">
      <c r="B37" s="19" t="s">
        <v>40</v>
      </c>
      <c r="C37" s="78">
        <v>779</v>
      </c>
      <c r="D37" s="78">
        <v>0</v>
      </c>
      <c r="E37" s="78">
        <v>0</v>
      </c>
      <c r="F37" s="78">
        <v>0</v>
      </c>
      <c r="G37" s="78">
        <v>43081</v>
      </c>
      <c r="H37" s="78">
        <v>0</v>
      </c>
      <c r="I37" s="82">
        <v>8500</v>
      </c>
      <c r="J37" s="78">
        <v>42468</v>
      </c>
      <c r="K37" s="117">
        <f t="shared" si="7"/>
        <v>94828</v>
      </c>
      <c r="L37" s="77"/>
      <c r="R37" s="125" t="s">
        <v>121</v>
      </c>
      <c r="S37" s="133">
        <f>SUM(S30:S36)</f>
        <v>23175.880967741941</v>
      </c>
      <c r="T37" s="134">
        <f>SUM(T30:T36)</f>
        <v>23.175880967741939</v>
      </c>
      <c r="U37"/>
    </row>
    <row r="38" spans="2:39" x14ac:dyDescent="0.25">
      <c r="B38" s="19" t="s">
        <v>41</v>
      </c>
      <c r="C38" s="78">
        <v>109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18200</v>
      </c>
      <c r="J38" s="78">
        <v>3402</v>
      </c>
      <c r="K38" s="80">
        <f t="shared" si="7"/>
        <v>21711</v>
      </c>
      <c r="L38" s="108"/>
      <c r="N38" s="6"/>
      <c r="O38" s="6"/>
      <c r="P38" s="6"/>
      <c r="Q38" s="6"/>
      <c r="R38" s="125" t="s">
        <v>122</v>
      </c>
      <c r="S38"/>
      <c r="T38" s="58">
        <f>T28+T37+T21</f>
        <v>553.48899207885302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2:39" x14ac:dyDescent="0.25">
      <c r="B39" s="19" t="s">
        <v>42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13440</v>
      </c>
      <c r="K39" s="80">
        <f t="shared" si="7"/>
        <v>13440</v>
      </c>
      <c r="L39" s="77"/>
      <c r="R39" s="1" t="s">
        <v>123</v>
      </c>
      <c r="S39"/>
      <c r="T39" s="135">
        <f>T19-T38</f>
        <v>0</v>
      </c>
      <c r="U39" s="136"/>
    </row>
    <row r="40" spans="2:39" ht="17.25" x14ac:dyDescent="0.4">
      <c r="B40" s="19" t="s">
        <v>43</v>
      </c>
      <c r="C40" s="75">
        <f>SUM(C32:C39)</f>
        <v>210547.11111111112</v>
      </c>
      <c r="D40" s="75">
        <f t="shared" ref="D40:J40" si="8">SUM(D32:D39)</f>
        <v>84314.5</v>
      </c>
      <c r="E40" s="75">
        <f t="shared" si="8"/>
        <v>251.5</v>
      </c>
      <c r="F40" s="72">
        <f t="shared" si="8"/>
        <v>10197</v>
      </c>
      <c r="G40" s="75">
        <f t="shared" si="8"/>
        <v>43081</v>
      </c>
      <c r="H40" s="72">
        <f t="shared" si="8"/>
        <v>0</v>
      </c>
      <c r="I40" s="72">
        <f t="shared" si="8"/>
        <v>46300</v>
      </c>
      <c r="J40" s="72">
        <f t="shared" si="8"/>
        <v>135622</v>
      </c>
      <c r="K40" s="175">
        <f t="shared" si="7"/>
        <v>530313.11111111112</v>
      </c>
      <c r="L40" s="77"/>
    </row>
    <row r="41" spans="2:39" x14ac:dyDescent="0.25">
      <c r="B41" s="19" t="s">
        <v>44</v>
      </c>
      <c r="C41" s="72">
        <f>SUM(C37:C39)</f>
        <v>888</v>
      </c>
      <c r="D41" s="72">
        <f t="shared" ref="D41:K41" si="9">SUM(D37:D39)</f>
        <v>0</v>
      </c>
      <c r="E41" s="72">
        <f t="shared" si="9"/>
        <v>0</v>
      </c>
      <c r="F41" s="72">
        <f t="shared" si="9"/>
        <v>0</v>
      </c>
      <c r="G41" s="72">
        <f t="shared" si="9"/>
        <v>43081</v>
      </c>
      <c r="H41" s="72">
        <f t="shared" si="9"/>
        <v>0</v>
      </c>
      <c r="I41" s="72">
        <f t="shared" si="9"/>
        <v>26700</v>
      </c>
      <c r="J41" s="72">
        <f t="shared" si="9"/>
        <v>59310</v>
      </c>
      <c r="K41" s="72">
        <f t="shared" si="9"/>
        <v>129979</v>
      </c>
      <c r="L41" s="77"/>
    </row>
    <row r="42" spans="2:39" x14ac:dyDescent="0.25">
      <c r="B42" s="24"/>
      <c r="C42" s="109"/>
      <c r="D42" s="109"/>
      <c r="E42" s="109"/>
      <c r="F42" s="109"/>
      <c r="G42" s="109"/>
      <c r="H42" s="109"/>
      <c r="I42" s="109"/>
      <c r="J42" s="109"/>
      <c r="K42" s="110"/>
      <c r="L42" s="28"/>
    </row>
    <row r="43" spans="2:39" ht="15.75" thickBot="1" x14ac:dyDescent="0.3">
      <c r="B43" s="43"/>
      <c r="C43" s="44"/>
      <c r="D43" s="44"/>
      <c r="E43" s="44"/>
      <c r="F43" s="44"/>
      <c r="G43" s="44"/>
      <c r="H43" s="44"/>
      <c r="I43" s="44"/>
      <c r="J43" s="44"/>
      <c r="K43" s="45"/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5"/>
  <sheetViews>
    <sheetView zoomScale="70" zoomScaleNormal="70" workbookViewId="0">
      <selection activeCell="K20" sqref="K20:L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8.85546875" style="1" bestFit="1" customWidth="1"/>
    <col min="4" max="4" width="9.28515625" style="1" bestFit="1" customWidth="1"/>
    <col min="5" max="5" width="15.85546875" style="1" bestFit="1" customWidth="1"/>
    <col min="6" max="6" width="10.7109375" style="1" customWidth="1"/>
    <col min="7" max="7" width="15" style="1" bestFit="1" customWidth="1"/>
    <col min="8" max="8" width="9.28515625" style="1" bestFit="1" customWidth="1"/>
    <col min="9" max="9" width="27.140625" style="1" customWidth="1"/>
    <col min="10" max="10" width="17.7109375" style="1" customWidth="1"/>
    <col min="11" max="11" width="20.42578125" style="1" customWidth="1"/>
    <col min="12" max="12" width="21.85546875" style="1" customWidth="1"/>
    <col min="13" max="13" width="25.5703125" style="1" customWidth="1"/>
    <col min="14" max="14" width="9.140625" style="1"/>
    <col min="15" max="15" width="10.7109375" style="1" bestFit="1" customWidth="1"/>
    <col min="16" max="17" width="9.140625" style="1"/>
    <col min="18" max="18" width="36" style="1" bestFit="1" customWidth="1"/>
    <col min="19" max="19" width="13.140625" style="1" bestFit="1" customWidth="1"/>
    <col min="20" max="16384" width="9.140625" style="1"/>
  </cols>
  <sheetData>
    <row r="1" spans="2:22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4"/>
      <c r="I1" s="5" t="s">
        <v>2</v>
      </c>
      <c r="J1" s="5" t="s">
        <v>3</v>
      </c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1"/>
    </row>
    <row r="2" spans="2:22" s="7" customFormat="1" ht="60" x14ac:dyDescent="0.25">
      <c r="B2" s="8"/>
      <c r="C2" s="9" t="s">
        <v>58</v>
      </c>
      <c r="D2" s="9" t="s">
        <v>53</v>
      </c>
      <c r="E2" s="9" t="s">
        <v>56</v>
      </c>
      <c r="F2" s="10" t="s">
        <v>57</v>
      </c>
      <c r="G2" s="10" t="s">
        <v>102</v>
      </c>
      <c r="H2" s="10" t="s">
        <v>25</v>
      </c>
      <c r="I2" s="11" t="s">
        <v>4</v>
      </c>
      <c r="J2" s="11" t="s">
        <v>5</v>
      </c>
      <c r="L2" s="12" t="s">
        <v>6</v>
      </c>
      <c r="M2" s="13"/>
      <c r="N2" s="6"/>
      <c r="O2" s="6"/>
      <c r="P2" s="6"/>
      <c r="Q2" s="6"/>
      <c r="R2" s="6"/>
      <c r="S2" s="6"/>
      <c r="T2" s="6"/>
      <c r="U2" s="6"/>
      <c r="V2" s="1"/>
    </row>
    <row r="3" spans="2:22" s="7" customFormat="1" x14ac:dyDescent="0.25">
      <c r="B3" s="14" t="s">
        <v>7</v>
      </c>
      <c r="C3" s="15"/>
      <c r="D3" s="15"/>
      <c r="E3" s="15"/>
      <c r="F3" s="15"/>
      <c r="G3" s="15"/>
      <c r="H3" s="15"/>
      <c r="I3" s="16"/>
      <c r="J3" s="16"/>
      <c r="K3" s="17"/>
      <c r="L3" s="18"/>
      <c r="M3" s="1"/>
      <c r="N3" s="6"/>
      <c r="O3" s="6"/>
      <c r="P3" s="6"/>
      <c r="Q3" s="6"/>
      <c r="T3" s="7" t="s">
        <v>48</v>
      </c>
      <c r="V3" s="1"/>
    </row>
    <row r="4" spans="2:22" s="7" customFormat="1" x14ac:dyDescent="0.25">
      <c r="B4" s="19" t="s">
        <v>8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f>SUM(C4:H4)</f>
        <v>0</v>
      </c>
      <c r="J4" s="78">
        <v>0</v>
      </c>
      <c r="K4" s="137">
        <f>J4/(J4+J5)</f>
        <v>0</v>
      </c>
      <c r="L4" s="80">
        <f>I4-J4</f>
        <v>0</v>
      </c>
      <c r="M4" s="1"/>
      <c r="N4" s="6"/>
      <c r="O4" s="6"/>
      <c r="P4" s="6"/>
      <c r="Q4" s="6"/>
      <c r="R4" s="49" t="s">
        <v>103</v>
      </c>
      <c r="S4" s="21">
        <f>K20</f>
        <v>27813.505404057203</v>
      </c>
      <c r="T4" s="123">
        <f>S4/1000</f>
        <v>27.813505404057203</v>
      </c>
      <c r="U4" s="124"/>
      <c r="V4" s="1"/>
    </row>
    <row r="5" spans="2:22" s="7" customFormat="1" x14ac:dyDescent="0.25">
      <c r="B5" s="19" t="s">
        <v>9</v>
      </c>
      <c r="C5" s="77">
        <v>4249</v>
      </c>
      <c r="D5" s="77">
        <v>0</v>
      </c>
      <c r="E5" s="77">
        <v>0</v>
      </c>
      <c r="F5" s="77">
        <v>0</v>
      </c>
      <c r="G5" s="77">
        <v>25722</v>
      </c>
      <c r="H5" s="77">
        <v>0</v>
      </c>
      <c r="I5" s="77">
        <f t="shared" ref="I5:I10" si="0">SUM(C5:H5)</f>
        <v>29971</v>
      </c>
      <c r="J5" s="78">
        <v>27010</v>
      </c>
      <c r="K5" s="137">
        <f>J5/(J4+J5)</f>
        <v>1</v>
      </c>
      <c r="L5" s="80">
        <f>I5-J5</f>
        <v>2961</v>
      </c>
      <c r="M5" s="1"/>
      <c r="N5" s="6"/>
      <c r="O5" s="6"/>
      <c r="P5" s="6"/>
      <c r="Q5" s="6"/>
      <c r="R5" s="7" t="s">
        <v>104</v>
      </c>
      <c r="S5" s="21">
        <f>IF(J28&gt;0,0,J28)*-1</f>
        <v>327018.40000000002</v>
      </c>
      <c r="T5" s="123">
        <f>S5/1000</f>
        <v>327.01840000000004</v>
      </c>
      <c r="V5" s="1"/>
    </row>
    <row r="6" spans="2:22" s="7" customFormat="1" x14ac:dyDescent="0.25">
      <c r="B6" s="19" t="s">
        <v>10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f t="shared" si="0"/>
        <v>0</v>
      </c>
      <c r="J6" s="78">
        <v>4634</v>
      </c>
      <c r="K6" s="79"/>
      <c r="L6" s="80"/>
      <c r="M6" s="1"/>
      <c r="N6" s="6"/>
      <c r="O6" s="6"/>
      <c r="P6" s="6"/>
      <c r="Q6" s="6"/>
      <c r="R6" s="49" t="s">
        <v>50</v>
      </c>
      <c r="S6" s="123">
        <f>G10+G20+G40</f>
        <v>56780.25</v>
      </c>
      <c r="T6" s="123">
        <f>S6/1000</f>
        <v>56.780250000000002</v>
      </c>
      <c r="U6" s="124"/>
      <c r="V6" s="1"/>
    </row>
    <row r="7" spans="2:22" s="7" customFormat="1" x14ac:dyDescent="0.25">
      <c r="B7" s="19" t="s">
        <v>11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f t="shared" si="0"/>
        <v>0</v>
      </c>
      <c r="J7" s="78">
        <v>0</v>
      </c>
      <c r="K7" s="79"/>
      <c r="L7" s="80"/>
      <c r="M7" s="1"/>
      <c r="N7" s="6"/>
      <c r="O7" s="6"/>
      <c r="P7" s="6"/>
      <c r="Q7" s="6"/>
      <c r="R7" s="49" t="s">
        <v>53</v>
      </c>
      <c r="S7" s="123">
        <f>D10+D20</f>
        <v>0</v>
      </c>
      <c r="T7" s="123">
        <f t="shared" ref="T7:T14" si="1">S7/1000</f>
        <v>0</v>
      </c>
      <c r="U7" s="124"/>
      <c r="V7" s="1"/>
    </row>
    <row r="8" spans="2:22" s="7" customFormat="1" x14ac:dyDescent="0.25">
      <c r="B8" s="19" t="s">
        <v>12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f t="shared" si="0"/>
        <v>0</v>
      </c>
      <c r="J8" s="78">
        <v>25407</v>
      </c>
      <c r="K8" s="79"/>
      <c r="L8" s="80"/>
      <c r="M8" s="1"/>
      <c r="N8" s="6"/>
      <c r="O8" s="6"/>
      <c r="P8" s="6"/>
      <c r="Q8" s="6"/>
      <c r="S8" s="123"/>
      <c r="T8" s="123">
        <f t="shared" si="1"/>
        <v>0</v>
      </c>
      <c r="U8" s="124"/>
      <c r="V8" s="1"/>
    </row>
    <row r="9" spans="2:22" s="7" customFormat="1" x14ac:dyDescent="0.25">
      <c r="B9" s="19" t="s">
        <v>13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f t="shared" si="0"/>
        <v>0</v>
      </c>
      <c r="J9" s="78">
        <v>0</v>
      </c>
      <c r="K9" s="79"/>
      <c r="L9" s="80"/>
      <c r="M9" s="1"/>
      <c r="N9" s="6"/>
      <c r="O9" s="6"/>
      <c r="P9" s="6"/>
      <c r="Q9" s="6"/>
      <c r="R9" s="125" t="s">
        <v>97</v>
      </c>
      <c r="S9" s="123">
        <f>D40</f>
        <v>0</v>
      </c>
      <c r="T9" s="123">
        <f t="shared" si="1"/>
        <v>0</v>
      </c>
      <c r="U9" s="124"/>
      <c r="V9" s="1"/>
    </row>
    <row r="10" spans="2:22" s="7" customFormat="1" x14ac:dyDescent="0.25">
      <c r="B10" s="19" t="s">
        <v>14</v>
      </c>
      <c r="C10" s="78">
        <f t="shared" ref="C10:J10" si="2">SUM(C4:C9)</f>
        <v>4249</v>
      </c>
      <c r="D10" s="78">
        <f t="shared" si="2"/>
        <v>0</v>
      </c>
      <c r="E10" s="78">
        <f t="shared" si="2"/>
        <v>0</v>
      </c>
      <c r="F10" s="78">
        <f t="shared" si="2"/>
        <v>0</v>
      </c>
      <c r="G10" s="78">
        <f t="shared" si="2"/>
        <v>25722</v>
      </c>
      <c r="H10" s="78">
        <f t="shared" si="2"/>
        <v>0</v>
      </c>
      <c r="I10" s="77">
        <f t="shared" si="0"/>
        <v>29971</v>
      </c>
      <c r="J10" s="78">
        <f t="shared" si="2"/>
        <v>57051</v>
      </c>
      <c r="K10" s="79"/>
      <c r="L10" s="80">
        <f>SUM(L4:L9)</f>
        <v>2961</v>
      </c>
      <c r="M10" s="1"/>
      <c r="N10" s="6"/>
      <c r="O10" s="6"/>
      <c r="P10" s="6"/>
      <c r="Q10" s="6"/>
      <c r="R10" s="49" t="s">
        <v>55</v>
      </c>
      <c r="S10" s="123"/>
      <c r="T10" s="123">
        <f t="shared" si="1"/>
        <v>0</v>
      </c>
      <c r="U10" s="124"/>
      <c r="V10" s="1"/>
    </row>
    <row r="11" spans="2:22" s="7" customFormat="1" x14ac:dyDescent="0.25">
      <c r="B11" s="22"/>
      <c r="C11" s="83"/>
      <c r="D11" s="83"/>
      <c r="E11" s="83"/>
      <c r="F11" s="83"/>
      <c r="G11" s="83"/>
      <c r="H11" s="83"/>
      <c r="I11" s="83"/>
      <c r="J11" s="83"/>
      <c r="K11" s="84"/>
      <c r="L11" s="85"/>
      <c r="M11" s="1"/>
      <c r="N11" s="6"/>
      <c r="O11" s="6"/>
      <c r="P11" s="6"/>
      <c r="Q11" s="6"/>
      <c r="R11" s="49" t="s">
        <v>56</v>
      </c>
      <c r="S11" s="123">
        <f>E10+E20+E40</f>
        <v>102463.75</v>
      </c>
      <c r="T11" s="123">
        <f t="shared" si="1"/>
        <v>102.46375</v>
      </c>
      <c r="U11" s="124"/>
      <c r="V11" s="1"/>
    </row>
    <row r="12" spans="2:22" s="7" customFormat="1" x14ac:dyDescent="0.25">
      <c r="B12" s="23" t="s">
        <v>15</v>
      </c>
      <c r="C12" s="83"/>
      <c r="D12" s="83"/>
      <c r="E12" s="83"/>
      <c r="F12" s="83"/>
      <c r="G12" s="83"/>
      <c r="H12" s="83"/>
      <c r="I12" s="79"/>
      <c r="J12" s="79">
        <v>0</v>
      </c>
      <c r="K12" s="84"/>
      <c r="L12" s="85"/>
      <c r="M12" s="1"/>
      <c r="N12" s="6"/>
      <c r="O12" s="6"/>
      <c r="P12" s="6"/>
      <c r="Q12" s="6"/>
      <c r="R12" s="49" t="s">
        <v>25</v>
      </c>
      <c r="S12" s="123">
        <f>H10+H20+H40</f>
        <v>0</v>
      </c>
      <c r="T12" s="123">
        <f t="shared" si="1"/>
        <v>0</v>
      </c>
      <c r="U12" s="124"/>
      <c r="V12" s="1"/>
    </row>
    <row r="13" spans="2:22" x14ac:dyDescent="0.25">
      <c r="B13" s="24"/>
      <c r="C13" s="78"/>
      <c r="D13" s="78"/>
      <c r="E13" s="78"/>
      <c r="F13" s="78"/>
      <c r="G13" s="78"/>
      <c r="H13" s="78"/>
      <c r="I13" s="78"/>
      <c r="J13" s="78"/>
      <c r="K13" s="78"/>
      <c r="L13" s="86"/>
      <c r="M13" s="6"/>
      <c r="R13" s="49" t="s">
        <v>57</v>
      </c>
      <c r="S13" s="123">
        <f>F10+F20+F40</f>
        <v>4154</v>
      </c>
      <c r="T13" s="123">
        <f t="shared" si="1"/>
        <v>4.1539999999999999</v>
      </c>
      <c r="U13" s="124"/>
    </row>
    <row r="14" spans="2:22" ht="18.75" x14ac:dyDescent="0.3">
      <c r="B14" s="26" t="s">
        <v>16</v>
      </c>
      <c r="C14" s="87"/>
      <c r="D14" s="87"/>
      <c r="E14" s="87"/>
      <c r="F14" s="87"/>
      <c r="G14" s="87"/>
      <c r="H14" s="87"/>
      <c r="I14" s="87"/>
      <c r="J14" s="88" t="s">
        <v>17</v>
      </c>
      <c r="K14" s="89" t="s">
        <v>18</v>
      </c>
      <c r="L14" s="90"/>
      <c r="M14" s="27" t="s">
        <v>19</v>
      </c>
      <c r="N14" s="28"/>
      <c r="R14" s="49" t="s">
        <v>58</v>
      </c>
      <c r="S14" s="123">
        <f>C10+C20+C40</f>
        <v>65478</v>
      </c>
      <c r="T14" s="123">
        <f t="shared" si="1"/>
        <v>65.477999999999994</v>
      </c>
      <c r="U14" s="124"/>
    </row>
    <row r="15" spans="2:22" x14ac:dyDescent="0.25">
      <c r="B15" s="19" t="s">
        <v>20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91">
        <f>J15/(1-M15)</f>
        <v>0</v>
      </c>
      <c r="L15" s="92">
        <f>I15-K15</f>
        <v>0</v>
      </c>
      <c r="M15" s="29">
        <v>0.03</v>
      </c>
      <c r="O15" s="30"/>
      <c r="R15" s="125" t="s">
        <v>106</v>
      </c>
      <c r="S15" s="123">
        <f>SUM(S4:S14)</f>
        <v>583707.90540405724</v>
      </c>
      <c r="T15" s="123">
        <f>SUM(T4:T14)</f>
        <v>583.70790540405721</v>
      </c>
      <c r="U15" s="124"/>
    </row>
    <row r="16" spans="2:22" x14ac:dyDescent="0.25">
      <c r="B16" s="19" t="s">
        <v>21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2</v>
      </c>
      <c r="K16" s="91">
        <f>J16/(1-M16)</f>
        <v>2.061855670103093</v>
      </c>
      <c r="L16" s="92">
        <f>I16-K16</f>
        <v>-2.061855670103093</v>
      </c>
      <c r="M16" s="29">
        <v>0.03</v>
      </c>
      <c r="O16" s="30"/>
      <c r="R16" t="s">
        <v>107</v>
      </c>
      <c r="S16" s="57">
        <f>J8</f>
        <v>25407</v>
      </c>
      <c r="T16" s="57">
        <f>S16/1000</f>
        <v>25.407</v>
      </c>
      <c r="U16" s="124"/>
    </row>
    <row r="17" spans="2:22" x14ac:dyDescent="0.25">
      <c r="B17" s="19" t="s">
        <v>22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91">
        <f>J17/(1-M17)</f>
        <v>0</v>
      </c>
      <c r="L17" s="92">
        <f>I17-K17</f>
        <v>0</v>
      </c>
      <c r="M17" s="29">
        <v>0.03</v>
      </c>
      <c r="O17" s="30"/>
      <c r="R17" t="s">
        <v>108</v>
      </c>
      <c r="S17" s="57">
        <f>J9</f>
        <v>0</v>
      </c>
      <c r="T17" s="57">
        <f t="shared" ref="T17:T18" si="3">S17/1000</f>
        <v>0</v>
      </c>
      <c r="U17" s="124"/>
      <c r="V17" s="6"/>
    </row>
    <row r="18" spans="2:22" x14ac:dyDescent="0.25">
      <c r="B18" s="19" t="s">
        <v>23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173">
        <v>22499</v>
      </c>
      <c r="K18" s="91">
        <f>J18/(1-M18)</f>
        <v>22680.443548387098</v>
      </c>
      <c r="L18" s="92"/>
      <c r="M18" s="31">
        <v>8.0000000000000002E-3</v>
      </c>
      <c r="O18" s="30"/>
      <c r="R18" t="s">
        <v>109</v>
      </c>
      <c r="S18" s="57">
        <f>J6+J7</f>
        <v>4634</v>
      </c>
      <c r="T18" s="57">
        <f t="shared" si="3"/>
        <v>4.6340000000000003</v>
      </c>
      <c r="U18"/>
    </row>
    <row r="19" spans="2:22" x14ac:dyDescent="0.25">
      <c r="B19" s="19" t="s">
        <v>24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173">
        <v>5131</v>
      </c>
      <c r="K19" s="91">
        <f>J19/(1-M19)</f>
        <v>5131</v>
      </c>
      <c r="L19" s="92"/>
      <c r="M19" s="1">
        <v>0</v>
      </c>
      <c r="O19" s="30"/>
      <c r="R19" t="s">
        <v>110</v>
      </c>
      <c r="S19" s="57">
        <f>SUM(S15:S18)</f>
        <v>613748.90540405724</v>
      </c>
      <c r="T19" s="57">
        <f>SUM(T15:T18)</f>
        <v>613.74890540405727</v>
      </c>
      <c r="U19"/>
    </row>
    <row r="20" spans="2:22" x14ac:dyDescent="0.25">
      <c r="B20" s="19" t="s">
        <v>14</v>
      </c>
      <c r="C20" s="78">
        <f t="shared" ref="C20:I20" si="4">SUM(C15:C19)</f>
        <v>0</v>
      </c>
      <c r="D20" s="78">
        <f t="shared" si="4"/>
        <v>0</v>
      </c>
      <c r="E20" s="78">
        <f t="shared" si="4"/>
        <v>0</v>
      </c>
      <c r="F20" s="78">
        <f t="shared" si="4"/>
        <v>0</v>
      </c>
      <c r="G20" s="78">
        <f t="shared" si="4"/>
        <v>0</v>
      </c>
      <c r="H20" s="78">
        <f t="shared" si="4"/>
        <v>0</v>
      </c>
      <c r="I20" s="78">
        <f t="shared" si="4"/>
        <v>0</v>
      </c>
      <c r="J20" s="78">
        <f>SUM(J15:J19)</f>
        <v>27632</v>
      </c>
      <c r="K20" s="93">
        <f>SUM(K15:K19)</f>
        <v>27813.505404057203</v>
      </c>
      <c r="L20" s="93">
        <f>SUM(L15:L19)</f>
        <v>-2.061855670103093</v>
      </c>
      <c r="M20" s="32"/>
      <c r="N20" s="33"/>
      <c r="O20" s="30"/>
      <c r="R20"/>
      <c r="S20"/>
      <c r="T20"/>
      <c r="U20"/>
    </row>
    <row r="21" spans="2:22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7"/>
      <c r="L21" s="86"/>
      <c r="M21" s="30"/>
      <c r="R21" s="19" t="s">
        <v>111</v>
      </c>
      <c r="S21" s="21">
        <f>IF(J28&lt;0,0,J28)</f>
        <v>0</v>
      </c>
      <c r="T21" s="123">
        <f t="shared" ref="T21:T27" si="5">S21/1000</f>
        <v>0</v>
      </c>
      <c r="U21" s="124"/>
    </row>
    <row r="22" spans="2:22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86"/>
      <c r="R22" s="19" t="s">
        <v>35</v>
      </c>
      <c r="S22" s="126">
        <f>K32</f>
        <v>2155</v>
      </c>
      <c r="T22" s="123">
        <f t="shared" si="5"/>
        <v>2.1549999999999998</v>
      </c>
      <c r="U22" s="124"/>
    </row>
    <row r="23" spans="2:22" ht="15.75" thickBot="1" x14ac:dyDescent="0.3">
      <c r="B23" s="35" t="s">
        <v>25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R23" s="19" t="s">
        <v>36</v>
      </c>
      <c r="S23" s="126">
        <f>K33</f>
        <v>373267.75</v>
      </c>
      <c r="T23" s="123">
        <f t="shared" si="5"/>
        <v>373.26774999999998</v>
      </c>
      <c r="U23" s="124"/>
    </row>
    <row r="24" spans="2:22" x14ac:dyDescent="0.25">
      <c r="C24" s="77"/>
      <c r="D24" s="77"/>
      <c r="E24" s="77"/>
      <c r="F24" s="77"/>
      <c r="G24" s="77"/>
      <c r="H24" s="77"/>
      <c r="I24" s="77"/>
      <c r="J24" s="77"/>
      <c r="K24" s="77"/>
      <c r="L24" s="77"/>
      <c r="R24" s="19" t="s">
        <v>37</v>
      </c>
      <c r="S24" s="126">
        <f>K34</f>
        <v>19801</v>
      </c>
      <c r="T24" s="123">
        <f t="shared" si="5"/>
        <v>19.800999999999998</v>
      </c>
      <c r="U24" s="124"/>
    </row>
    <row r="25" spans="2:22" ht="15.75" thickBot="1" x14ac:dyDescent="0.3">
      <c r="C25" s="77"/>
      <c r="D25" s="77"/>
      <c r="E25" s="77"/>
      <c r="F25" s="77"/>
      <c r="G25" s="77"/>
      <c r="H25" s="77"/>
      <c r="I25" s="77"/>
      <c r="J25" s="77"/>
      <c r="K25" s="77"/>
      <c r="L25" s="77"/>
      <c r="R25" s="19" t="s">
        <v>38</v>
      </c>
      <c r="S25" s="126">
        <f>K35</f>
        <v>48325</v>
      </c>
      <c r="T25" s="123">
        <f t="shared" si="5"/>
        <v>48.325000000000003</v>
      </c>
      <c r="U25" s="124"/>
    </row>
    <row r="26" spans="2:22" x14ac:dyDescent="0.25">
      <c r="B26" s="8"/>
      <c r="C26" s="96"/>
      <c r="D26" s="96"/>
      <c r="E26" s="96"/>
      <c r="F26" s="96"/>
      <c r="G26" s="96"/>
      <c r="H26" s="77"/>
      <c r="I26" s="97" t="s">
        <v>26</v>
      </c>
      <c r="J26" s="98" t="s">
        <v>27</v>
      </c>
      <c r="K26" s="77"/>
      <c r="L26" s="77"/>
      <c r="M26" s="38" t="s">
        <v>28</v>
      </c>
      <c r="R26" s="19" t="s">
        <v>39</v>
      </c>
      <c r="S26" s="126">
        <f>K36</f>
        <v>20040</v>
      </c>
      <c r="T26" s="123">
        <f t="shared" si="5"/>
        <v>20.04</v>
      </c>
      <c r="U26" s="124"/>
    </row>
    <row r="27" spans="2:22" x14ac:dyDescent="0.25">
      <c r="B27" s="39" t="s">
        <v>29</v>
      </c>
      <c r="C27" s="78"/>
      <c r="D27" s="78"/>
      <c r="E27" s="78"/>
      <c r="F27" s="78"/>
      <c r="G27" s="78"/>
      <c r="H27" s="77"/>
      <c r="I27" s="72">
        <f>J10-I40</f>
        <v>9037</v>
      </c>
      <c r="J27" s="80">
        <f>J40*8%</f>
        <v>26270.400000000001</v>
      </c>
      <c r="K27" s="77"/>
      <c r="L27" s="77"/>
      <c r="M27" s="40">
        <f>100-(I40/J10*100)</f>
        <v>15.840213142626766</v>
      </c>
      <c r="R27" s="19" t="s">
        <v>44</v>
      </c>
      <c r="S27" s="126">
        <f>K41</f>
        <v>111710.25</v>
      </c>
      <c r="T27" s="123">
        <f t="shared" si="5"/>
        <v>111.71025</v>
      </c>
      <c r="U27" s="124"/>
    </row>
    <row r="28" spans="2:22" ht="15.75" thickBot="1" x14ac:dyDescent="0.3">
      <c r="B28" s="35" t="s">
        <v>30</v>
      </c>
      <c r="C28" s="94"/>
      <c r="D28" s="94"/>
      <c r="E28" s="94"/>
      <c r="F28" s="94"/>
      <c r="G28" s="94"/>
      <c r="H28" s="94"/>
      <c r="I28" s="99">
        <f>I40+I27-J10</f>
        <v>0</v>
      </c>
      <c r="J28" s="122">
        <f>J20-J27-J40</f>
        <v>-327018.40000000002</v>
      </c>
      <c r="K28" s="77"/>
      <c r="L28" s="77"/>
      <c r="M28" s="1" t="str">
        <f>IF(M27&gt;10,"OBS! HÖGA FÖRLUSTER","OK")</f>
        <v>OBS! HÖGA FÖRLUSTER</v>
      </c>
      <c r="R28" s="19" t="s">
        <v>112</v>
      </c>
      <c r="S28" s="58">
        <f>SUM(S22:S27)</f>
        <v>575299</v>
      </c>
      <c r="T28" s="58">
        <f>SUM(T22:T27)</f>
        <v>575.29899999999998</v>
      </c>
      <c r="U28" s="124"/>
    </row>
    <row r="29" spans="2:22" ht="15.75" thickBot="1" x14ac:dyDescent="0.3">
      <c r="C29" s="77"/>
      <c r="D29" s="77"/>
      <c r="E29" s="77"/>
      <c r="F29" s="77"/>
      <c r="G29" s="77"/>
      <c r="H29" s="77"/>
      <c r="I29" s="77"/>
      <c r="J29" s="77"/>
      <c r="K29" s="77"/>
      <c r="L29" s="77"/>
      <c r="R29" s="127" t="s">
        <v>113</v>
      </c>
      <c r="S29" s="128"/>
      <c r="T29" s="129">
        <f t="shared" ref="T29:T36" si="6">S29/1000</f>
        <v>0</v>
      </c>
      <c r="U29" s="48"/>
    </row>
    <row r="30" spans="2:22" ht="15.75" thickBot="1" x14ac:dyDescent="0.3">
      <c r="B30" s="8"/>
      <c r="C30" s="100" t="s">
        <v>0</v>
      </c>
      <c r="D30" s="100"/>
      <c r="E30" s="100"/>
      <c r="F30" s="100" t="s">
        <v>1</v>
      </c>
      <c r="G30" s="100"/>
      <c r="H30" s="96"/>
      <c r="I30" s="96"/>
      <c r="J30" s="96"/>
      <c r="K30" s="101"/>
      <c r="L30" s="77"/>
      <c r="R30" s="49" t="s">
        <v>114</v>
      </c>
      <c r="S30" s="50">
        <f>J27</f>
        <v>26270.400000000001</v>
      </c>
      <c r="T30" s="130">
        <f t="shared" si="6"/>
        <v>26.270400000000002</v>
      </c>
      <c r="U30" s="53"/>
    </row>
    <row r="31" spans="2:22" ht="45" x14ac:dyDescent="0.25">
      <c r="B31" s="41" t="s">
        <v>31</v>
      </c>
      <c r="C31" s="102" t="s">
        <v>58</v>
      </c>
      <c r="D31" s="102" t="s">
        <v>53</v>
      </c>
      <c r="E31" s="102" t="s">
        <v>56</v>
      </c>
      <c r="F31" s="103" t="s">
        <v>57</v>
      </c>
      <c r="G31" s="103" t="s">
        <v>102</v>
      </c>
      <c r="H31" s="103" t="s">
        <v>25</v>
      </c>
      <c r="I31" s="104" t="s">
        <v>32</v>
      </c>
      <c r="J31" s="104" t="s">
        <v>33</v>
      </c>
      <c r="K31" s="105" t="s">
        <v>34</v>
      </c>
      <c r="L31" s="77"/>
      <c r="R31" s="49" t="s">
        <v>115</v>
      </c>
      <c r="S31" s="50">
        <f>I27</f>
        <v>9037</v>
      </c>
      <c r="T31" s="130">
        <f t="shared" si="6"/>
        <v>9.0370000000000008</v>
      </c>
      <c r="U31" s="53"/>
    </row>
    <row r="32" spans="2:22" x14ac:dyDescent="0.25">
      <c r="B32" s="19" t="s">
        <v>35</v>
      </c>
      <c r="C32" s="78">
        <v>928</v>
      </c>
      <c r="D32" s="78">
        <v>0</v>
      </c>
      <c r="E32" s="78">
        <v>0</v>
      </c>
      <c r="F32" s="78">
        <v>99</v>
      </c>
      <c r="G32" s="78">
        <v>0</v>
      </c>
      <c r="H32" s="78">
        <v>0</v>
      </c>
      <c r="I32" s="78">
        <v>0</v>
      </c>
      <c r="J32" s="78">
        <v>1128</v>
      </c>
      <c r="K32" s="80">
        <f>SUM(C32:J32)</f>
        <v>2155</v>
      </c>
      <c r="L32" s="77"/>
      <c r="R32" s="49" t="s">
        <v>116</v>
      </c>
      <c r="S32" s="50">
        <f>K20-J20</f>
        <v>181.50540405720312</v>
      </c>
      <c r="T32" s="130">
        <f t="shared" si="6"/>
        <v>0.18150540405720311</v>
      </c>
      <c r="U32"/>
    </row>
    <row r="33" spans="2:39" ht="17.25" x14ac:dyDescent="0.4">
      <c r="B33" s="19" t="s">
        <v>36</v>
      </c>
      <c r="C33" s="82">
        <v>15104</v>
      </c>
      <c r="D33" s="78">
        <v>0</v>
      </c>
      <c r="E33" s="82">
        <v>102463.75</v>
      </c>
      <c r="F33" s="78">
        <v>591</v>
      </c>
      <c r="G33" s="82">
        <v>295</v>
      </c>
      <c r="H33" s="78">
        <v>0</v>
      </c>
      <c r="I33" s="78">
        <v>16645</v>
      </c>
      <c r="J33" s="78">
        <v>238169</v>
      </c>
      <c r="K33" s="80">
        <f t="shared" ref="K33:K40" si="7">SUM(C33:J33)</f>
        <v>373267.75</v>
      </c>
      <c r="L33" s="77"/>
      <c r="R33" s="49" t="s">
        <v>117</v>
      </c>
      <c r="S33" s="50">
        <f>L4</f>
        <v>0</v>
      </c>
      <c r="T33" s="130">
        <f t="shared" si="6"/>
        <v>0</v>
      </c>
      <c r="U33" s="53"/>
    </row>
    <row r="34" spans="2:39" x14ac:dyDescent="0.25">
      <c r="B34" s="19" t="s">
        <v>37</v>
      </c>
      <c r="C34" s="78">
        <v>106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9697</v>
      </c>
      <c r="J34" s="78">
        <v>9998</v>
      </c>
      <c r="K34" s="80">
        <f t="shared" si="7"/>
        <v>19801</v>
      </c>
      <c r="L34" s="77"/>
      <c r="R34" s="49" t="s">
        <v>118</v>
      </c>
      <c r="S34" s="50">
        <f>L5</f>
        <v>2961</v>
      </c>
      <c r="T34" s="130">
        <f t="shared" si="6"/>
        <v>2.9609999999999999</v>
      </c>
      <c r="U34" s="53"/>
    </row>
    <row r="35" spans="2:39" x14ac:dyDescent="0.25">
      <c r="B35" s="19" t="s">
        <v>38</v>
      </c>
      <c r="C35" s="78">
        <v>44436</v>
      </c>
      <c r="D35" s="78">
        <v>0</v>
      </c>
      <c r="E35" s="78">
        <v>0</v>
      </c>
      <c r="F35" s="78">
        <v>3464</v>
      </c>
      <c r="G35" s="78">
        <v>0</v>
      </c>
      <c r="H35" s="78">
        <v>0</v>
      </c>
      <c r="I35" s="78">
        <v>0</v>
      </c>
      <c r="J35" s="78">
        <v>425</v>
      </c>
      <c r="K35" s="80">
        <f t="shared" si="7"/>
        <v>48325</v>
      </c>
      <c r="L35" s="77"/>
      <c r="R35" s="49" t="s">
        <v>119</v>
      </c>
      <c r="S35" s="50">
        <f>L15</f>
        <v>0</v>
      </c>
      <c r="T35" s="130">
        <f t="shared" si="6"/>
        <v>0</v>
      </c>
      <c r="U35" s="53"/>
    </row>
    <row r="36" spans="2:39" ht="15.75" thickBot="1" x14ac:dyDescent="0.3">
      <c r="B36" s="19" t="s">
        <v>39</v>
      </c>
      <c r="C36" s="78">
        <v>129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2598</v>
      </c>
      <c r="J36" s="78">
        <v>17313</v>
      </c>
      <c r="K36" s="80">
        <f t="shared" si="7"/>
        <v>20040</v>
      </c>
      <c r="L36" s="77"/>
      <c r="R36" s="54" t="s">
        <v>120</v>
      </c>
      <c r="S36" s="131">
        <f>L16</f>
        <v>-2.061855670103093</v>
      </c>
      <c r="T36" s="132">
        <f t="shared" si="6"/>
        <v>-2.0618556701030928E-3</v>
      </c>
    </row>
    <row r="37" spans="2:39" ht="17.25" x14ac:dyDescent="0.4">
      <c r="B37" s="19" t="s">
        <v>40</v>
      </c>
      <c r="C37" s="82">
        <v>516</v>
      </c>
      <c r="D37" s="78">
        <v>0</v>
      </c>
      <c r="E37" s="78">
        <v>0</v>
      </c>
      <c r="F37" s="78">
        <v>0</v>
      </c>
      <c r="G37" s="82">
        <v>30763.25</v>
      </c>
      <c r="H37" s="78">
        <v>0</v>
      </c>
      <c r="I37" s="78">
        <v>4141</v>
      </c>
      <c r="J37" s="78">
        <v>49259</v>
      </c>
      <c r="K37" s="80">
        <f t="shared" si="7"/>
        <v>84679.25</v>
      </c>
      <c r="L37" s="77"/>
      <c r="R37" s="125" t="s">
        <v>121</v>
      </c>
      <c r="S37" s="133">
        <f>SUM(S30:S36)</f>
        <v>38447.843548387107</v>
      </c>
      <c r="T37" s="134">
        <f>SUM(T30:T36)</f>
        <v>38.447843548387098</v>
      </c>
      <c r="U37"/>
    </row>
    <row r="38" spans="2:39" x14ac:dyDescent="0.25">
      <c r="B38" s="19" t="s">
        <v>41</v>
      </c>
      <c r="C38" s="78">
        <v>10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14933</v>
      </c>
      <c r="J38" s="78">
        <v>2911</v>
      </c>
      <c r="K38" s="80">
        <f t="shared" si="7"/>
        <v>17854</v>
      </c>
      <c r="L38" s="108"/>
      <c r="N38" s="6"/>
      <c r="O38" s="6"/>
      <c r="P38" s="6"/>
      <c r="Q38" s="6"/>
      <c r="R38" s="125" t="s">
        <v>122</v>
      </c>
      <c r="S38"/>
      <c r="T38" s="58">
        <f>T28+T37+T21</f>
        <v>613.74684354838712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2:39" x14ac:dyDescent="0.25">
      <c r="B39" s="19" t="s">
        <v>42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9177</v>
      </c>
      <c r="K39" s="80">
        <f t="shared" si="7"/>
        <v>9177</v>
      </c>
      <c r="L39" s="77"/>
      <c r="R39" s="1" t="s">
        <v>123</v>
      </c>
      <c r="S39"/>
      <c r="T39" s="135">
        <f>T19-T38</f>
        <v>2.0618556701492707E-3</v>
      </c>
      <c r="U39" s="136"/>
    </row>
    <row r="40" spans="2:39" ht="17.25" x14ac:dyDescent="0.4">
      <c r="B40" s="19" t="s">
        <v>43</v>
      </c>
      <c r="C40" s="75">
        <f>SUM(C32:C39)</f>
        <v>61229</v>
      </c>
      <c r="D40" s="72">
        <f t="shared" ref="D40:J40" si="8">SUM(D32:D39)</f>
        <v>0</v>
      </c>
      <c r="E40" s="75">
        <f t="shared" si="8"/>
        <v>102463.75</v>
      </c>
      <c r="F40" s="72">
        <f t="shared" si="8"/>
        <v>4154</v>
      </c>
      <c r="G40" s="75">
        <f t="shared" si="8"/>
        <v>31058.25</v>
      </c>
      <c r="H40" s="72">
        <f t="shared" si="8"/>
        <v>0</v>
      </c>
      <c r="I40" s="72">
        <f t="shared" si="8"/>
        <v>48014</v>
      </c>
      <c r="J40" s="72">
        <f t="shared" si="8"/>
        <v>328380</v>
      </c>
      <c r="K40" s="80">
        <f t="shared" si="7"/>
        <v>575299</v>
      </c>
      <c r="L40" s="77"/>
    </row>
    <row r="41" spans="2:39" x14ac:dyDescent="0.25">
      <c r="B41" s="19" t="s">
        <v>44</v>
      </c>
      <c r="C41" s="72">
        <f>SUM(C37:C39)</f>
        <v>526</v>
      </c>
      <c r="D41" s="72">
        <f t="shared" ref="D41:K41" si="9">SUM(D37:D39)</f>
        <v>0</v>
      </c>
      <c r="E41" s="72">
        <f t="shared" si="9"/>
        <v>0</v>
      </c>
      <c r="F41" s="72">
        <f t="shared" si="9"/>
        <v>0</v>
      </c>
      <c r="G41" s="72">
        <f t="shared" si="9"/>
        <v>30763.25</v>
      </c>
      <c r="H41" s="72">
        <f t="shared" si="9"/>
        <v>0</v>
      </c>
      <c r="I41" s="72">
        <f t="shared" si="9"/>
        <v>19074</v>
      </c>
      <c r="J41" s="72">
        <f t="shared" si="9"/>
        <v>61347</v>
      </c>
      <c r="K41" s="72">
        <f t="shared" si="9"/>
        <v>111710.25</v>
      </c>
      <c r="L41" s="77"/>
    </row>
    <row r="42" spans="2:39" x14ac:dyDescent="0.25">
      <c r="B42" s="24"/>
      <c r="C42" s="118"/>
      <c r="D42" s="118"/>
      <c r="E42" s="118"/>
      <c r="F42" s="118"/>
      <c r="G42" s="118"/>
      <c r="H42" s="118"/>
      <c r="I42" s="118"/>
      <c r="J42" s="118"/>
      <c r="K42" s="119"/>
      <c r="L42" s="120"/>
    </row>
    <row r="43" spans="2:39" ht="15.75" thickBot="1" x14ac:dyDescent="0.3">
      <c r="B43" s="43"/>
      <c r="C43" s="36"/>
      <c r="D43" s="36"/>
      <c r="E43" s="36"/>
      <c r="F43" s="36"/>
      <c r="G43" s="36"/>
      <c r="H43" s="36"/>
      <c r="I43" s="36"/>
      <c r="J43" s="36"/>
      <c r="K43" s="37"/>
      <c r="L43" s="34"/>
    </row>
    <row r="44" spans="2:39" x14ac:dyDescent="0.25"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39" x14ac:dyDescent="0.25">
      <c r="C45" s="34"/>
      <c r="D45" s="34"/>
      <c r="E45" s="34"/>
      <c r="F45" s="34"/>
      <c r="G45" s="34"/>
      <c r="H45" s="34"/>
      <c r="I45" s="34"/>
      <c r="J45" s="34"/>
      <c r="K45" s="34"/>
      <c r="L45" s="34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3"/>
  <sheetViews>
    <sheetView zoomScale="60" zoomScaleNormal="60" workbookViewId="0">
      <selection activeCell="L20" sqref="L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0.7109375" style="1" customWidth="1"/>
    <col min="4" max="5" width="9.28515625" style="1" bestFit="1" customWidth="1"/>
    <col min="6" max="6" width="10.7109375" style="1" customWidth="1"/>
    <col min="7" max="7" width="15" style="1" bestFit="1" customWidth="1"/>
    <col min="8" max="8" width="9.28515625" style="1" bestFit="1" customWidth="1"/>
    <col min="9" max="9" width="27.140625" style="1" customWidth="1"/>
    <col min="10" max="10" width="17.7109375" style="1" customWidth="1"/>
    <col min="11" max="11" width="20.42578125" style="1" customWidth="1"/>
    <col min="12" max="12" width="21.85546875" style="1" customWidth="1"/>
    <col min="13" max="13" width="25.5703125" style="1" customWidth="1"/>
    <col min="14" max="14" width="9.140625" style="1"/>
    <col min="15" max="15" width="10.7109375" style="1" bestFit="1" customWidth="1"/>
    <col min="16" max="17" width="9.140625" style="1"/>
    <col min="18" max="18" width="39" style="1" bestFit="1" customWidth="1"/>
    <col min="19" max="19" width="12.5703125" style="1" bestFit="1" customWidth="1"/>
    <col min="20" max="16384" width="9.140625" style="1"/>
  </cols>
  <sheetData>
    <row r="1" spans="2:22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4"/>
      <c r="I1" s="5" t="s">
        <v>2</v>
      </c>
      <c r="J1" s="5" t="s">
        <v>3</v>
      </c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1"/>
    </row>
    <row r="2" spans="2:22" s="7" customFormat="1" ht="60" x14ac:dyDescent="0.25">
      <c r="B2" s="8"/>
      <c r="C2" s="9" t="s">
        <v>58</v>
      </c>
      <c r="D2" s="9" t="s">
        <v>53</v>
      </c>
      <c r="E2" s="9" t="s">
        <v>56</v>
      </c>
      <c r="F2" s="10" t="s">
        <v>57</v>
      </c>
      <c r="G2" s="10" t="s">
        <v>102</v>
      </c>
      <c r="H2" s="10" t="s">
        <v>25</v>
      </c>
      <c r="I2" s="11" t="s">
        <v>4</v>
      </c>
      <c r="J2" s="11" t="s">
        <v>5</v>
      </c>
      <c r="L2" s="12" t="s">
        <v>6</v>
      </c>
      <c r="M2" s="13"/>
      <c r="N2" s="6"/>
      <c r="O2" s="6"/>
      <c r="P2" s="6"/>
      <c r="Q2" s="6"/>
      <c r="R2" s="6"/>
      <c r="S2" s="6"/>
      <c r="T2" s="6"/>
      <c r="U2" s="6"/>
      <c r="V2" s="1"/>
    </row>
    <row r="3" spans="2:22" s="7" customFormat="1" x14ac:dyDescent="0.25">
      <c r="B3" s="14" t="s">
        <v>7</v>
      </c>
      <c r="C3" s="15"/>
      <c r="D3" s="15"/>
      <c r="E3" s="15"/>
      <c r="F3" s="15"/>
      <c r="G3" s="15"/>
      <c r="H3" s="15"/>
      <c r="I3" s="16"/>
      <c r="J3" s="16"/>
      <c r="K3" s="17"/>
      <c r="L3" s="18"/>
      <c r="M3" s="1"/>
      <c r="N3" s="6"/>
      <c r="O3" s="6"/>
      <c r="P3" s="6"/>
      <c r="Q3" s="6"/>
      <c r="T3" s="7" t="s">
        <v>48</v>
      </c>
      <c r="V3" s="1"/>
    </row>
    <row r="4" spans="2:22" s="7" customFormat="1" ht="17.25" x14ac:dyDescent="0.4">
      <c r="B4" s="19" t="s">
        <v>8</v>
      </c>
      <c r="C4" s="81">
        <v>1500</v>
      </c>
      <c r="D4" s="77">
        <v>0</v>
      </c>
      <c r="E4" s="77">
        <v>0</v>
      </c>
      <c r="F4" s="77">
        <v>0</v>
      </c>
      <c r="G4" s="81">
        <v>48652.800000000003</v>
      </c>
      <c r="H4" s="77">
        <v>0</v>
      </c>
      <c r="I4" s="81">
        <f>SUM(C4:H4)</f>
        <v>50152.800000000003</v>
      </c>
      <c r="J4" s="82">
        <v>53800</v>
      </c>
      <c r="K4" s="137">
        <f>J4/(J4+J5)</f>
        <v>1</v>
      </c>
      <c r="L4" s="80">
        <f>I4-J4</f>
        <v>-3647.1999999999971</v>
      </c>
      <c r="M4" s="1"/>
      <c r="N4" s="6"/>
      <c r="O4" s="6"/>
      <c r="P4" s="6"/>
      <c r="Q4" s="6"/>
      <c r="R4" s="49" t="s">
        <v>103</v>
      </c>
      <c r="S4" s="21">
        <f>K20</f>
        <v>417214.17733621551</v>
      </c>
      <c r="T4" s="123">
        <f>S4/1000</f>
        <v>417.21417733621553</v>
      </c>
      <c r="U4" s="124"/>
      <c r="V4" s="1"/>
    </row>
    <row r="5" spans="2:22" s="7" customFormat="1" ht="17.25" x14ac:dyDescent="0.4">
      <c r="B5" s="19" t="s">
        <v>9</v>
      </c>
      <c r="C5" s="163">
        <v>0</v>
      </c>
      <c r="D5" s="77">
        <v>0</v>
      </c>
      <c r="E5" s="77">
        <v>0</v>
      </c>
      <c r="F5" s="77">
        <v>0</v>
      </c>
      <c r="G5" s="163">
        <v>0</v>
      </c>
      <c r="H5" s="77">
        <v>0</v>
      </c>
      <c r="I5" s="81">
        <f t="shared" ref="I5:I10" si="0">SUM(C5:H5)</f>
        <v>0</v>
      </c>
      <c r="J5" s="173">
        <v>0</v>
      </c>
      <c r="K5" s="137">
        <f>J5/(J4+J5)</f>
        <v>0</v>
      </c>
      <c r="L5" s="80">
        <f>I5-J5</f>
        <v>0</v>
      </c>
      <c r="M5" s="1"/>
      <c r="N5" s="6"/>
      <c r="O5" s="6"/>
      <c r="P5" s="6"/>
      <c r="Q5" s="6"/>
      <c r="R5" s="7" t="s">
        <v>104</v>
      </c>
      <c r="S5" s="21">
        <f>IF(J28&gt;0,0,J28)*-1</f>
        <v>0</v>
      </c>
      <c r="T5" s="123">
        <f>S5/1000</f>
        <v>0</v>
      </c>
      <c r="V5" s="1"/>
    </row>
    <row r="6" spans="2:22" s="7" customFormat="1" ht="17.25" x14ac:dyDescent="0.4">
      <c r="B6" s="19" t="s">
        <v>10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81">
        <f t="shared" si="0"/>
        <v>0</v>
      </c>
      <c r="J6" s="78">
        <v>0</v>
      </c>
      <c r="K6" s="79"/>
      <c r="L6" s="80"/>
      <c r="M6" s="1"/>
      <c r="N6" s="6"/>
      <c r="O6" s="6"/>
      <c r="P6" s="6"/>
      <c r="Q6" s="6"/>
      <c r="R6" s="49" t="s">
        <v>50</v>
      </c>
      <c r="S6" s="123">
        <f>G10+G20+G40</f>
        <v>104329.06666666668</v>
      </c>
      <c r="T6" s="123">
        <f>S6/1000</f>
        <v>104.32906666666668</v>
      </c>
      <c r="U6" s="124"/>
      <c r="V6" s="1"/>
    </row>
    <row r="7" spans="2:22" s="7" customFormat="1" ht="17.25" x14ac:dyDescent="0.4">
      <c r="B7" s="19" t="s">
        <v>11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81">
        <f t="shared" si="0"/>
        <v>0</v>
      </c>
      <c r="J7" s="78">
        <v>0</v>
      </c>
      <c r="K7" s="79"/>
      <c r="L7" s="80"/>
      <c r="M7" s="1"/>
      <c r="N7" s="6"/>
      <c r="O7" s="6"/>
      <c r="P7" s="6"/>
      <c r="Q7" s="6"/>
      <c r="R7" s="49" t="s">
        <v>53</v>
      </c>
      <c r="S7" s="123">
        <f>D10+D20</f>
        <v>0</v>
      </c>
      <c r="T7" s="123">
        <f t="shared" ref="T7:T14" si="1">S7/1000</f>
        <v>0</v>
      </c>
      <c r="U7" s="124"/>
      <c r="V7" s="1"/>
    </row>
    <row r="8" spans="2:22" s="7" customFormat="1" ht="17.25" x14ac:dyDescent="0.4">
      <c r="B8" s="19" t="s">
        <v>12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81">
        <f t="shared" si="0"/>
        <v>0</v>
      </c>
      <c r="J8" s="78">
        <v>0</v>
      </c>
      <c r="K8" s="79"/>
      <c r="L8" s="80"/>
      <c r="M8" s="1"/>
      <c r="N8" s="6"/>
      <c r="O8" s="6"/>
      <c r="P8" s="6"/>
      <c r="Q8" s="6"/>
      <c r="S8" s="123"/>
      <c r="T8" s="123">
        <f t="shared" si="1"/>
        <v>0</v>
      </c>
      <c r="U8" s="124"/>
      <c r="V8" s="1"/>
    </row>
    <row r="9" spans="2:22" s="7" customFormat="1" ht="17.25" x14ac:dyDescent="0.4">
      <c r="B9" s="19" t="s">
        <v>13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81">
        <f t="shared" si="0"/>
        <v>0</v>
      </c>
      <c r="J9" s="173">
        <v>6500</v>
      </c>
      <c r="K9" s="79"/>
      <c r="L9" s="80"/>
      <c r="M9" s="1"/>
      <c r="N9" s="6"/>
      <c r="O9" s="6"/>
      <c r="P9" s="6"/>
      <c r="Q9" s="6"/>
      <c r="R9" s="125" t="s">
        <v>105</v>
      </c>
      <c r="S9" s="123"/>
      <c r="T9" s="123">
        <f t="shared" si="1"/>
        <v>0</v>
      </c>
      <c r="U9" s="124"/>
      <c r="V9" s="1"/>
    </row>
    <row r="10" spans="2:22" s="7" customFormat="1" ht="17.25" x14ac:dyDescent="0.4">
      <c r="B10" s="19" t="s">
        <v>14</v>
      </c>
      <c r="C10" s="82">
        <f t="shared" ref="C10:J10" si="2">SUM(C4:C9)</f>
        <v>1500</v>
      </c>
      <c r="D10" s="78">
        <f t="shared" si="2"/>
        <v>0</v>
      </c>
      <c r="E10" s="78">
        <f t="shared" si="2"/>
        <v>0</v>
      </c>
      <c r="F10" s="78">
        <f t="shared" si="2"/>
        <v>0</v>
      </c>
      <c r="G10" s="82">
        <f t="shared" si="2"/>
        <v>48652.800000000003</v>
      </c>
      <c r="H10" s="78">
        <f t="shared" si="2"/>
        <v>0</v>
      </c>
      <c r="I10" s="81">
        <f t="shared" si="0"/>
        <v>50152.800000000003</v>
      </c>
      <c r="J10" s="82">
        <f t="shared" si="2"/>
        <v>60300</v>
      </c>
      <c r="K10" s="79"/>
      <c r="L10" s="80">
        <f>SUM(L4:L9)</f>
        <v>-3647.1999999999971</v>
      </c>
      <c r="M10" s="1"/>
      <c r="N10" s="6"/>
      <c r="O10" s="6"/>
      <c r="P10" s="6"/>
      <c r="Q10" s="6"/>
      <c r="R10" s="49" t="s">
        <v>55</v>
      </c>
      <c r="S10" s="123"/>
      <c r="T10" s="123">
        <f t="shared" si="1"/>
        <v>0</v>
      </c>
      <c r="U10" s="124"/>
      <c r="V10" s="1"/>
    </row>
    <row r="11" spans="2:22" s="7" customFormat="1" x14ac:dyDescent="0.25">
      <c r="B11" s="22"/>
      <c r="C11" s="83"/>
      <c r="D11" s="83"/>
      <c r="E11" s="83"/>
      <c r="F11" s="83"/>
      <c r="G11" s="83"/>
      <c r="H11" s="83"/>
      <c r="I11" s="83"/>
      <c r="J11" s="83"/>
      <c r="K11" s="84"/>
      <c r="L11" s="85"/>
      <c r="M11" s="1"/>
      <c r="N11" s="6"/>
      <c r="O11" s="6"/>
      <c r="P11" s="6"/>
      <c r="Q11" s="6"/>
      <c r="R11" s="49" t="s">
        <v>56</v>
      </c>
      <c r="S11" s="123">
        <f>E10+E20+E40</f>
        <v>0</v>
      </c>
      <c r="T11" s="123">
        <f t="shared" si="1"/>
        <v>0</v>
      </c>
      <c r="U11" s="124"/>
      <c r="V11" s="1"/>
    </row>
    <row r="12" spans="2:22" s="7" customFormat="1" x14ac:dyDescent="0.25">
      <c r="B12" s="23" t="s">
        <v>15</v>
      </c>
      <c r="C12" s="83"/>
      <c r="D12" s="83"/>
      <c r="E12" s="83"/>
      <c r="F12" s="83"/>
      <c r="G12" s="83"/>
      <c r="H12" s="83"/>
      <c r="I12" s="79"/>
      <c r="J12" s="79"/>
      <c r="K12" s="84"/>
      <c r="L12" s="85"/>
      <c r="M12" s="1"/>
      <c r="N12" s="6"/>
      <c r="O12" s="6"/>
      <c r="P12" s="6"/>
      <c r="Q12" s="6"/>
      <c r="R12" s="49" t="s">
        <v>25</v>
      </c>
      <c r="S12" s="123">
        <f>H10+H20+H40</f>
        <v>0</v>
      </c>
      <c r="T12" s="123">
        <f t="shared" si="1"/>
        <v>0</v>
      </c>
      <c r="U12" s="124"/>
      <c r="V12" s="1"/>
    </row>
    <row r="13" spans="2:22" x14ac:dyDescent="0.25">
      <c r="B13" s="24"/>
      <c r="C13" s="78"/>
      <c r="D13" s="78"/>
      <c r="E13" s="78"/>
      <c r="F13" s="78"/>
      <c r="G13" s="78"/>
      <c r="H13" s="78"/>
      <c r="I13" s="78"/>
      <c r="J13" s="78"/>
      <c r="K13" s="78"/>
      <c r="L13" s="86"/>
      <c r="M13" s="6"/>
      <c r="R13" s="49" t="s">
        <v>57</v>
      </c>
      <c r="S13" s="123">
        <f>F10+F20+F40</f>
        <v>6491</v>
      </c>
      <c r="T13" s="123">
        <f t="shared" si="1"/>
        <v>6.4909999999999997</v>
      </c>
      <c r="U13" s="124"/>
    </row>
    <row r="14" spans="2:22" ht="18.75" x14ac:dyDescent="0.3">
      <c r="B14" s="26" t="s">
        <v>16</v>
      </c>
      <c r="C14" s="87"/>
      <c r="D14" s="87"/>
      <c r="E14" s="87"/>
      <c r="F14" s="87"/>
      <c r="G14" s="87"/>
      <c r="H14" s="87"/>
      <c r="I14" s="87"/>
      <c r="J14" s="88" t="s">
        <v>17</v>
      </c>
      <c r="K14" s="89" t="s">
        <v>18</v>
      </c>
      <c r="L14" s="90"/>
      <c r="M14" s="27" t="s">
        <v>19</v>
      </c>
      <c r="N14" s="28"/>
      <c r="R14" s="49" t="s">
        <v>58</v>
      </c>
      <c r="S14" s="123">
        <f>C10+C20+C40</f>
        <v>76369</v>
      </c>
      <c r="T14" s="123">
        <f t="shared" si="1"/>
        <v>76.369</v>
      </c>
      <c r="U14" s="124"/>
    </row>
    <row r="15" spans="2:22" ht="17.25" x14ac:dyDescent="0.4">
      <c r="B15" s="19" t="s">
        <v>20</v>
      </c>
      <c r="C15" s="78">
        <v>0</v>
      </c>
      <c r="D15" s="78">
        <v>0</v>
      </c>
      <c r="E15" s="78">
        <v>0</v>
      </c>
      <c r="F15" s="78">
        <v>0</v>
      </c>
      <c r="G15" s="82">
        <v>18347.199999999997</v>
      </c>
      <c r="H15" s="78">
        <v>0</v>
      </c>
      <c r="I15" s="82">
        <f>SUM(C15:H15)</f>
        <v>18347.199999999997</v>
      </c>
      <c r="J15" s="82">
        <v>7560</v>
      </c>
      <c r="K15" s="91">
        <f>J15/(1-M15)</f>
        <v>7793.8144329896913</v>
      </c>
      <c r="L15" s="92">
        <f>I15-K15</f>
        <v>10553.385567010306</v>
      </c>
      <c r="M15" s="29">
        <v>0.03</v>
      </c>
      <c r="O15" s="30"/>
      <c r="R15" s="125" t="s">
        <v>106</v>
      </c>
      <c r="S15" s="123">
        <f>SUM(S4:S14)</f>
        <v>604403.24400288216</v>
      </c>
      <c r="T15" s="123">
        <f>SUM(T4:T14)</f>
        <v>604.40324400288216</v>
      </c>
      <c r="U15" s="124"/>
    </row>
    <row r="16" spans="2:22" x14ac:dyDescent="0.25">
      <c r="B16" s="19" t="s">
        <v>21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116">
        <f t="shared" ref="I16:I20" si="3">SUM(C16:H16)</f>
        <v>0</v>
      </c>
      <c r="J16" s="78">
        <v>0</v>
      </c>
      <c r="K16" s="91">
        <f>J16/(1-M16)</f>
        <v>0</v>
      </c>
      <c r="L16" s="92">
        <f>I16-K16</f>
        <v>0</v>
      </c>
      <c r="M16" s="29">
        <v>0.03</v>
      </c>
      <c r="O16" s="30"/>
      <c r="R16" t="s">
        <v>107</v>
      </c>
      <c r="S16" s="57">
        <f>J8</f>
        <v>0</v>
      </c>
      <c r="T16" s="57">
        <f>S16/1000</f>
        <v>0</v>
      </c>
      <c r="U16" s="124"/>
    </row>
    <row r="17" spans="2:22" x14ac:dyDescent="0.25">
      <c r="B17" s="19" t="s">
        <v>22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116">
        <f t="shared" si="3"/>
        <v>0</v>
      </c>
      <c r="J17" s="78">
        <v>0</v>
      </c>
      <c r="K17" s="91">
        <f>J17/(1-M17)</f>
        <v>0</v>
      </c>
      <c r="L17" s="92">
        <f>I17-K17</f>
        <v>0</v>
      </c>
      <c r="M17" s="29">
        <v>0.03</v>
      </c>
      <c r="O17" s="30"/>
      <c r="R17" t="s">
        <v>108</v>
      </c>
      <c r="S17" s="57">
        <f>J9</f>
        <v>6500</v>
      </c>
      <c r="T17" s="57">
        <f t="shared" ref="T17:T18" si="4">S17/1000</f>
        <v>6.5</v>
      </c>
      <c r="U17" s="124"/>
      <c r="V17" s="6"/>
    </row>
    <row r="18" spans="2:22" ht="17.25" x14ac:dyDescent="0.4">
      <c r="B18" s="19" t="s">
        <v>23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116">
        <f t="shared" si="3"/>
        <v>0</v>
      </c>
      <c r="J18" s="82">
        <v>406145</v>
      </c>
      <c r="K18" s="91">
        <f>J18/(1-M18)</f>
        <v>409420.36290322582</v>
      </c>
      <c r="L18" s="92"/>
      <c r="M18" s="31">
        <v>8.0000000000000002E-3</v>
      </c>
      <c r="O18" s="30"/>
      <c r="R18" t="s">
        <v>109</v>
      </c>
      <c r="S18" s="57">
        <f>J6+J7</f>
        <v>0</v>
      </c>
      <c r="T18" s="57">
        <f t="shared" si="4"/>
        <v>0</v>
      </c>
      <c r="U18"/>
    </row>
    <row r="19" spans="2:22" x14ac:dyDescent="0.25">
      <c r="B19" s="19" t="s">
        <v>24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116">
        <f t="shared" si="3"/>
        <v>0</v>
      </c>
      <c r="J19" s="78">
        <v>0</v>
      </c>
      <c r="K19" s="91">
        <f>J19/(1-M19)</f>
        <v>0</v>
      </c>
      <c r="L19" s="92"/>
      <c r="M19" s="1">
        <v>0</v>
      </c>
      <c r="O19" s="30"/>
      <c r="R19" t="s">
        <v>110</v>
      </c>
      <c r="S19" s="57">
        <f>SUM(S15:S18)</f>
        <v>610903.24400288216</v>
      </c>
      <c r="T19" s="57">
        <f>SUM(T15:T18)</f>
        <v>610.90324400288216</v>
      </c>
      <c r="U19"/>
    </row>
    <row r="20" spans="2:22" ht="17.25" x14ac:dyDescent="0.4">
      <c r="B20" s="19" t="s">
        <v>14</v>
      </c>
      <c r="C20" s="78">
        <f t="shared" ref="C20:H20" si="5">SUM(C15:C19)</f>
        <v>0</v>
      </c>
      <c r="D20" s="78">
        <f t="shared" si="5"/>
        <v>0</v>
      </c>
      <c r="E20" s="78">
        <f t="shared" si="5"/>
        <v>0</v>
      </c>
      <c r="F20" s="78">
        <f t="shared" si="5"/>
        <v>0</v>
      </c>
      <c r="G20" s="82">
        <f t="shared" si="5"/>
        <v>18347.199999999997</v>
      </c>
      <c r="H20" s="78">
        <f t="shared" si="5"/>
        <v>0</v>
      </c>
      <c r="I20" s="82">
        <f t="shared" si="3"/>
        <v>18347.199999999997</v>
      </c>
      <c r="J20" s="172">
        <f>SUM(J15:J19)</f>
        <v>413705</v>
      </c>
      <c r="K20" s="93">
        <f>SUM(K15:K19)</f>
        <v>417214.17733621551</v>
      </c>
      <c r="L20" s="93">
        <f>SUM(L15:L19)</f>
        <v>10553.385567010306</v>
      </c>
      <c r="M20" s="32"/>
      <c r="N20" s="33"/>
      <c r="O20" s="30"/>
      <c r="R20"/>
      <c r="S20"/>
      <c r="T20"/>
      <c r="U20"/>
    </row>
    <row r="21" spans="2:22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7"/>
      <c r="L21" s="86"/>
      <c r="M21" s="30"/>
      <c r="R21" s="19" t="s">
        <v>111</v>
      </c>
      <c r="S21" s="21">
        <f>IF(J28&lt;0,0,J28)</f>
        <v>317427.39199999999</v>
      </c>
      <c r="T21" s="123">
        <f t="shared" ref="T21:T27" si="6">S21/1000</f>
        <v>317.427392</v>
      </c>
      <c r="U21" s="124"/>
    </row>
    <row r="22" spans="2:22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86"/>
      <c r="R22" s="19" t="s">
        <v>35</v>
      </c>
      <c r="S22" s="126">
        <f>K32</f>
        <v>21747.066666666666</v>
      </c>
      <c r="T22" s="123">
        <f t="shared" si="6"/>
        <v>21.747066666666665</v>
      </c>
      <c r="U22" s="124"/>
    </row>
    <row r="23" spans="2:22" ht="15.75" thickBot="1" x14ac:dyDescent="0.3">
      <c r="B23" s="35" t="s">
        <v>25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R23" s="19" t="s">
        <v>36</v>
      </c>
      <c r="S23" s="126">
        <f>K33</f>
        <v>31815</v>
      </c>
      <c r="T23" s="123">
        <f t="shared" si="6"/>
        <v>31.815000000000001</v>
      </c>
      <c r="U23" s="124"/>
    </row>
    <row r="24" spans="2:22" x14ac:dyDescent="0.25">
      <c r="C24" s="77"/>
      <c r="D24" s="77"/>
      <c r="E24" s="77"/>
      <c r="F24" s="77"/>
      <c r="G24" s="77"/>
      <c r="H24" s="77"/>
      <c r="I24" s="77"/>
      <c r="J24" s="77"/>
      <c r="K24" s="77"/>
      <c r="L24" s="77"/>
      <c r="R24" s="19" t="s">
        <v>37</v>
      </c>
      <c r="S24" s="126">
        <f>K34</f>
        <v>23557</v>
      </c>
      <c r="T24" s="123">
        <f t="shared" si="6"/>
        <v>23.556999999999999</v>
      </c>
      <c r="U24" s="124"/>
    </row>
    <row r="25" spans="2:22" ht="15.75" thickBot="1" x14ac:dyDescent="0.3">
      <c r="C25" s="77"/>
      <c r="D25" s="77"/>
      <c r="E25" s="77"/>
      <c r="F25" s="77"/>
      <c r="G25" s="77"/>
      <c r="H25" s="77"/>
      <c r="I25" s="77"/>
      <c r="J25" s="77"/>
      <c r="K25" s="77"/>
      <c r="L25" s="77"/>
      <c r="R25" s="19" t="s">
        <v>38</v>
      </c>
      <c r="S25" s="126">
        <f>K35</f>
        <v>67855</v>
      </c>
      <c r="T25" s="123">
        <f t="shared" si="6"/>
        <v>67.855000000000004</v>
      </c>
      <c r="U25" s="124"/>
    </row>
    <row r="26" spans="2:22" x14ac:dyDescent="0.25">
      <c r="B26" s="8"/>
      <c r="C26" s="96"/>
      <c r="D26" s="96"/>
      <c r="E26" s="96"/>
      <c r="F26" s="96"/>
      <c r="G26" s="96"/>
      <c r="H26" s="77"/>
      <c r="I26" s="97" t="s">
        <v>26</v>
      </c>
      <c r="J26" s="98" t="s">
        <v>27</v>
      </c>
      <c r="K26" s="77"/>
      <c r="L26" s="77"/>
      <c r="M26" s="38" t="s">
        <v>28</v>
      </c>
      <c r="R26" s="19" t="s">
        <v>39</v>
      </c>
      <c r="S26" s="126">
        <f>K36</f>
        <v>17675.933333333349</v>
      </c>
      <c r="T26" s="123">
        <f t="shared" si="6"/>
        <v>17.675933333333347</v>
      </c>
      <c r="U26" s="124"/>
    </row>
    <row r="27" spans="2:22" x14ac:dyDescent="0.25">
      <c r="B27" s="39" t="s">
        <v>29</v>
      </c>
      <c r="C27" s="78"/>
      <c r="D27" s="78"/>
      <c r="E27" s="78"/>
      <c r="F27" s="78"/>
      <c r="G27" s="78"/>
      <c r="H27" s="77"/>
      <c r="I27" s="72">
        <f>J10-I40</f>
        <v>6270</v>
      </c>
      <c r="J27" s="80">
        <f>J40*8%</f>
        <v>7131.6746666666677</v>
      </c>
      <c r="K27" s="77"/>
      <c r="L27" s="77"/>
      <c r="M27" s="40">
        <f>100-(I40/J10*100)</f>
        <v>10.398009950248749</v>
      </c>
      <c r="R27" s="19" t="s">
        <v>44</v>
      </c>
      <c r="S27" s="126">
        <f>K41</f>
        <v>99215</v>
      </c>
      <c r="T27" s="123">
        <f t="shared" si="6"/>
        <v>99.215000000000003</v>
      </c>
      <c r="U27" s="124"/>
    </row>
    <row r="28" spans="2:22" ht="15.75" thickBot="1" x14ac:dyDescent="0.3">
      <c r="B28" s="35" t="s">
        <v>30</v>
      </c>
      <c r="C28" s="94"/>
      <c r="D28" s="94"/>
      <c r="E28" s="94"/>
      <c r="F28" s="94"/>
      <c r="G28" s="94"/>
      <c r="H28" s="94"/>
      <c r="I28" s="99">
        <f>I40+I27-J10</f>
        <v>0</v>
      </c>
      <c r="J28" s="122">
        <f>J20-J27-J40</f>
        <v>317427.39199999999</v>
      </c>
      <c r="K28" s="77"/>
      <c r="L28" s="77"/>
      <c r="M28" s="1" t="str">
        <f>IF(M27&gt;10,"OBS! HÖGA FÖRLUSTER","OK")</f>
        <v>OBS! HÖGA FÖRLUSTER</v>
      </c>
      <c r="R28" s="19" t="s">
        <v>112</v>
      </c>
      <c r="S28" s="58">
        <f>SUM(S22:S27)</f>
        <v>261865</v>
      </c>
      <c r="T28" s="58">
        <f>SUM(T22:T27)</f>
        <v>261.86500000000001</v>
      </c>
      <c r="U28" s="124"/>
    </row>
    <row r="29" spans="2:22" ht="15.75" thickBot="1" x14ac:dyDescent="0.3">
      <c r="C29" s="77"/>
      <c r="D29" s="77"/>
      <c r="E29" s="77"/>
      <c r="F29" s="77"/>
      <c r="G29" s="77"/>
      <c r="H29" s="77"/>
      <c r="I29" s="77"/>
      <c r="J29" s="77"/>
      <c r="K29" s="77"/>
      <c r="L29" s="77"/>
      <c r="R29" s="127" t="s">
        <v>113</v>
      </c>
      <c r="S29" s="128"/>
      <c r="T29" s="129">
        <f t="shared" ref="T29:T36" si="7">S29/1000</f>
        <v>0</v>
      </c>
      <c r="U29" s="48"/>
    </row>
    <row r="30" spans="2:22" ht="15.75" thickBot="1" x14ac:dyDescent="0.3">
      <c r="B30" s="8"/>
      <c r="C30" s="100" t="s">
        <v>0</v>
      </c>
      <c r="D30" s="100"/>
      <c r="E30" s="100"/>
      <c r="F30" s="100" t="s">
        <v>1</v>
      </c>
      <c r="G30" s="100"/>
      <c r="H30" s="96"/>
      <c r="I30" s="96"/>
      <c r="J30" s="96"/>
      <c r="K30" s="101"/>
      <c r="L30" s="77"/>
      <c r="R30" s="49" t="s">
        <v>114</v>
      </c>
      <c r="S30" s="50">
        <f>J27</f>
        <v>7131.6746666666677</v>
      </c>
      <c r="T30" s="130">
        <f t="shared" si="7"/>
        <v>7.1316746666666679</v>
      </c>
      <c r="U30" s="53"/>
    </row>
    <row r="31" spans="2:22" ht="45" x14ac:dyDescent="0.25">
      <c r="B31" s="41" t="s">
        <v>31</v>
      </c>
      <c r="C31" s="102" t="s">
        <v>58</v>
      </c>
      <c r="D31" s="102" t="s">
        <v>53</v>
      </c>
      <c r="E31" s="102" t="s">
        <v>56</v>
      </c>
      <c r="F31" s="103" t="s">
        <v>57</v>
      </c>
      <c r="G31" s="103" t="s">
        <v>102</v>
      </c>
      <c r="H31" s="103" t="s">
        <v>25</v>
      </c>
      <c r="I31" s="104" t="s">
        <v>32</v>
      </c>
      <c r="J31" s="104" t="s">
        <v>33</v>
      </c>
      <c r="K31" s="105" t="s">
        <v>34</v>
      </c>
      <c r="L31" s="77"/>
      <c r="R31" s="49" t="s">
        <v>115</v>
      </c>
      <c r="S31" s="50">
        <f>I27</f>
        <v>6270</v>
      </c>
      <c r="T31" s="130">
        <f t="shared" si="7"/>
        <v>6.27</v>
      </c>
      <c r="U31" s="53"/>
    </row>
    <row r="32" spans="2:22" ht="17.25" x14ac:dyDescent="0.4">
      <c r="B32" s="19" t="s">
        <v>35</v>
      </c>
      <c r="C32" s="82">
        <v>9438.0666666666657</v>
      </c>
      <c r="D32" s="78">
        <v>0</v>
      </c>
      <c r="E32" s="78">
        <v>0</v>
      </c>
      <c r="F32" s="78">
        <v>954</v>
      </c>
      <c r="G32" s="78">
        <v>0</v>
      </c>
      <c r="H32" s="78">
        <v>0</v>
      </c>
      <c r="I32" s="78">
        <v>0</v>
      </c>
      <c r="J32" s="78">
        <v>11355</v>
      </c>
      <c r="K32" s="117">
        <f>SUM(C32:J32)</f>
        <v>21747.066666666666</v>
      </c>
      <c r="L32" s="77"/>
      <c r="R32" s="49" t="s">
        <v>116</v>
      </c>
      <c r="S32" s="50">
        <f>K20-J20</f>
        <v>3509.1773362155072</v>
      </c>
      <c r="T32" s="130">
        <f t="shared" si="7"/>
        <v>3.5091773362155072</v>
      </c>
      <c r="U32"/>
    </row>
    <row r="33" spans="2:39" ht="17.25" x14ac:dyDescent="0.4">
      <c r="B33" s="19" t="s">
        <v>36</v>
      </c>
      <c r="C33" s="82">
        <v>2645.6</v>
      </c>
      <c r="D33" s="78">
        <v>0</v>
      </c>
      <c r="E33" s="78">
        <v>0</v>
      </c>
      <c r="F33" s="78">
        <v>128</v>
      </c>
      <c r="G33" s="82">
        <v>2687.4000000000015</v>
      </c>
      <c r="H33" s="78">
        <v>0</v>
      </c>
      <c r="I33" s="78">
        <v>14343</v>
      </c>
      <c r="J33" s="78">
        <v>12011</v>
      </c>
      <c r="K33" s="80">
        <f t="shared" ref="K33:K40" si="8">SUM(C33:J33)</f>
        <v>31815</v>
      </c>
      <c r="L33" s="77"/>
      <c r="R33" s="49" t="s">
        <v>117</v>
      </c>
      <c r="S33" s="50">
        <f>L4</f>
        <v>-3647.1999999999971</v>
      </c>
      <c r="T33" s="130">
        <f t="shared" si="7"/>
        <v>-3.6471999999999971</v>
      </c>
      <c r="U33" s="53"/>
    </row>
    <row r="34" spans="2:39" x14ac:dyDescent="0.25">
      <c r="B34" s="19" t="s">
        <v>37</v>
      </c>
      <c r="C34" s="78">
        <v>69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12613</v>
      </c>
      <c r="J34" s="78">
        <v>10875</v>
      </c>
      <c r="K34" s="80">
        <f t="shared" si="8"/>
        <v>23557</v>
      </c>
      <c r="L34" s="77"/>
      <c r="R34" s="49" t="s">
        <v>118</v>
      </c>
      <c r="S34" s="50">
        <f>L5</f>
        <v>0</v>
      </c>
      <c r="T34" s="130">
        <f t="shared" si="7"/>
        <v>0</v>
      </c>
      <c r="U34" s="53"/>
    </row>
    <row r="35" spans="2:39" x14ac:dyDescent="0.25">
      <c r="B35" s="19" t="s">
        <v>38</v>
      </c>
      <c r="C35" s="78">
        <v>62131</v>
      </c>
      <c r="D35" s="78">
        <v>0</v>
      </c>
      <c r="E35" s="78">
        <v>0</v>
      </c>
      <c r="F35" s="78">
        <v>5409</v>
      </c>
      <c r="G35" s="78">
        <v>0</v>
      </c>
      <c r="H35" s="78">
        <v>0</v>
      </c>
      <c r="I35" s="78">
        <v>0</v>
      </c>
      <c r="J35" s="78">
        <v>315</v>
      </c>
      <c r="K35" s="80">
        <f t="shared" si="8"/>
        <v>67855</v>
      </c>
      <c r="L35" s="77"/>
      <c r="R35" s="49" t="s">
        <v>119</v>
      </c>
      <c r="S35" s="50">
        <f>L15</f>
        <v>10553.385567010306</v>
      </c>
      <c r="T35" s="130">
        <f t="shared" si="7"/>
        <v>10.553385567010306</v>
      </c>
      <c r="U35" s="53"/>
    </row>
    <row r="36" spans="2:39" ht="18" thickBot="1" x14ac:dyDescent="0.45">
      <c r="B36" s="19" t="s">
        <v>39</v>
      </c>
      <c r="C36" s="78">
        <v>68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4063</v>
      </c>
      <c r="J36" s="82">
        <v>13544.933333333349</v>
      </c>
      <c r="K36" s="117">
        <f t="shared" si="8"/>
        <v>17675.933333333349</v>
      </c>
      <c r="L36" s="77"/>
      <c r="R36" s="54" t="s">
        <v>120</v>
      </c>
      <c r="S36" s="131">
        <f>L16</f>
        <v>0</v>
      </c>
      <c r="T36" s="132">
        <f t="shared" si="7"/>
        <v>0</v>
      </c>
    </row>
    <row r="37" spans="2:39" ht="17.25" x14ac:dyDescent="0.4">
      <c r="B37" s="19" t="s">
        <v>40</v>
      </c>
      <c r="C37" s="82">
        <v>517.33333333333337</v>
      </c>
      <c r="D37" s="78">
        <v>0</v>
      </c>
      <c r="E37" s="78">
        <v>0</v>
      </c>
      <c r="F37" s="78">
        <v>0</v>
      </c>
      <c r="G37" s="82">
        <v>34641.666666666672</v>
      </c>
      <c r="H37" s="78">
        <v>0</v>
      </c>
      <c r="I37" s="78">
        <v>7645</v>
      </c>
      <c r="J37" s="78">
        <v>35116</v>
      </c>
      <c r="K37" s="80">
        <f t="shared" si="8"/>
        <v>77920</v>
      </c>
      <c r="L37" s="77"/>
      <c r="R37" s="125" t="s">
        <v>121</v>
      </c>
      <c r="S37" s="133">
        <f>SUM(S30:S36)</f>
        <v>23817.037569892484</v>
      </c>
      <c r="T37" s="134">
        <f>SUM(T30:T36)</f>
        <v>23.817037569892484</v>
      </c>
      <c r="U37"/>
    </row>
    <row r="38" spans="2:39" x14ac:dyDescent="0.25">
      <c r="B38" s="19" t="s">
        <v>41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15366</v>
      </c>
      <c r="J38" s="78">
        <v>3145</v>
      </c>
      <c r="K38" s="80">
        <f t="shared" si="8"/>
        <v>18511</v>
      </c>
      <c r="L38" s="108"/>
      <c r="N38" s="6"/>
      <c r="O38" s="6"/>
      <c r="P38" s="6"/>
      <c r="Q38" s="6"/>
      <c r="R38" s="125" t="s">
        <v>122</v>
      </c>
      <c r="S38"/>
      <c r="T38" s="58">
        <f>T28+T37+T21</f>
        <v>603.10942956989243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2:39" x14ac:dyDescent="0.25">
      <c r="B39" s="19" t="s">
        <v>42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2784</v>
      </c>
      <c r="K39" s="80">
        <f t="shared" si="8"/>
        <v>2784</v>
      </c>
      <c r="L39" s="77"/>
      <c r="R39" s="1" t="s">
        <v>123</v>
      </c>
      <c r="S39"/>
      <c r="T39" s="135">
        <f>T19-T38</f>
        <v>7.7938144329897341</v>
      </c>
      <c r="U39" s="136"/>
    </row>
    <row r="40" spans="2:39" ht="17.25" x14ac:dyDescent="0.4">
      <c r="B40" s="19" t="s">
        <v>43</v>
      </c>
      <c r="C40" s="72">
        <f>SUM(C32:C39)</f>
        <v>74869</v>
      </c>
      <c r="D40" s="72">
        <f t="shared" ref="D40:J40" si="9">SUM(D32:D39)</f>
        <v>0</v>
      </c>
      <c r="E40" s="72">
        <f t="shared" si="9"/>
        <v>0</v>
      </c>
      <c r="F40" s="72">
        <f t="shared" si="9"/>
        <v>6491</v>
      </c>
      <c r="G40" s="75">
        <f t="shared" si="9"/>
        <v>37329.066666666673</v>
      </c>
      <c r="H40" s="72">
        <f t="shared" si="9"/>
        <v>0</v>
      </c>
      <c r="I40" s="72">
        <f t="shared" si="9"/>
        <v>54030</v>
      </c>
      <c r="J40" s="75">
        <f t="shared" si="9"/>
        <v>89145.933333333349</v>
      </c>
      <c r="K40" s="80">
        <f t="shared" si="8"/>
        <v>261865.00000000003</v>
      </c>
      <c r="L40" s="77"/>
    </row>
    <row r="41" spans="2:39" x14ac:dyDescent="0.25">
      <c r="B41" s="19" t="s">
        <v>44</v>
      </c>
      <c r="C41" s="72">
        <f>SUM(C37:C39)</f>
        <v>517.33333333333337</v>
      </c>
      <c r="D41" s="72">
        <f t="shared" ref="D41:K41" si="10">SUM(D37:D39)</f>
        <v>0</v>
      </c>
      <c r="E41" s="72">
        <f t="shared" si="10"/>
        <v>0</v>
      </c>
      <c r="F41" s="72">
        <f t="shared" si="10"/>
        <v>0</v>
      </c>
      <c r="G41" s="72">
        <f t="shared" si="10"/>
        <v>34641.666666666672</v>
      </c>
      <c r="H41" s="72">
        <f t="shared" si="10"/>
        <v>0</v>
      </c>
      <c r="I41" s="72">
        <f t="shared" si="10"/>
        <v>23011</v>
      </c>
      <c r="J41" s="72">
        <f t="shared" si="10"/>
        <v>41045</v>
      </c>
      <c r="K41" s="72">
        <f t="shared" si="10"/>
        <v>99215</v>
      </c>
      <c r="L41" s="77"/>
    </row>
    <row r="42" spans="2:39" x14ac:dyDescent="0.25">
      <c r="B42" s="24"/>
      <c r="C42" s="20"/>
      <c r="D42" s="20"/>
      <c r="E42" s="20"/>
      <c r="F42" s="20"/>
      <c r="G42" s="20"/>
      <c r="H42" s="20"/>
      <c r="I42" s="20"/>
      <c r="J42" s="20"/>
      <c r="K42" s="25"/>
      <c r="L42" s="34"/>
    </row>
    <row r="43" spans="2:39" ht="15.75" thickBot="1" x14ac:dyDescent="0.3">
      <c r="B43" s="43"/>
      <c r="C43" s="44"/>
      <c r="D43" s="44"/>
      <c r="E43" s="44"/>
      <c r="F43" s="44"/>
      <c r="G43" s="44"/>
      <c r="H43" s="44"/>
      <c r="I43" s="44"/>
      <c r="J43" s="44"/>
      <c r="K43" s="45"/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3"/>
  <sheetViews>
    <sheetView zoomScale="60" zoomScaleNormal="60" workbookViewId="0">
      <selection activeCell="L20" sqref="L20"/>
    </sheetView>
  </sheetViews>
  <sheetFormatPr defaultRowHeight="15" x14ac:dyDescent="0.25"/>
  <cols>
    <col min="1" max="1" width="9.140625" style="1"/>
    <col min="2" max="2" width="56.42578125" style="1" bestFit="1" customWidth="1"/>
    <col min="3" max="3" width="18.85546875" style="1" bestFit="1" customWidth="1"/>
    <col min="4" max="4" width="8.85546875" style="1" bestFit="1" customWidth="1"/>
    <col min="5" max="5" width="10.7109375" style="1" bestFit="1" customWidth="1"/>
    <col min="6" max="6" width="14" style="1" bestFit="1" customWidth="1"/>
    <col min="7" max="7" width="12.85546875" style="1" bestFit="1" customWidth="1"/>
    <col min="8" max="8" width="8.85546875" style="1" bestFit="1" customWidth="1"/>
    <col min="9" max="9" width="32.5703125" style="1" bestFit="1" customWidth="1"/>
    <col min="10" max="10" width="25" style="1" bestFit="1" customWidth="1"/>
    <col min="11" max="11" width="32.5703125" style="1" bestFit="1" customWidth="1"/>
    <col min="12" max="12" width="26.85546875" style="1" bestFit="1" customWidth="1"/>
    <col min="13" max="13" width="26" style="1" bestFit="1" customWidth="1"/>
    <col min="14" max="14" width="9.140625" style="1"/>
    <col min="15" max="15" width="10.7109375" style="1" bestFit="1" customWidth="1"/>
    <col min="16" max="17" width="9.140625" style="1"/>
    <col min="18" max="18" width="36" style="1" bestFit="1" customWidth="1"/>
    <col min="19" max="19" width="13.140625" style="1" bestFit="1" customWidth="1"/>
    <col min="20" max="16384" width="9.140625" style="1"/>
  </cols>
  <sheetData>
    <row r="1" spans="2:22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4"/>
      <c r="I1" s="5" t="s">
        <v>2</v>
      </c>
      <c r="J1" s="5" t="s">
        <v>3</v>
      </c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1"/>
    </row>
    <row r="2" spans="2:22" s="7" customFormat="1" ht="60" x14ac:dyDescent="0.25">
      <c r="B2" s="8"/>
      <c r="C2" s="9" t="s">
        <v>58</v>
      </c>
      <c r="D2" s="9" t="s">
        <v>53</v>
      </c>
      <c r="E2" s="9" t="s">
        <v>56</v>
      </c>
      <c r="F2" s="10" t="s">
        <v>57</v>
      </c>
      <c r="G2" s="10" t="s">
        <v>102</v>
      </c>
      <c r="H2" s="10" t="s">
        <v>25</v>
      </c>
      <c r="I2" s="11" t="s">
        <v>4</v>
      </c>
      <c r="J2" s="11" t="s">
        <v>5</v>
      </c>
      <c r="L2" s="12" t="s">
        <v>6</v>
      </c>
      <c r="M2" s="13"/>
      <c r="N2" s="6"/>
      <c r="O2" s="6"/>
      <c r="P2" s="6"/>
      <c r="Q2" s="6"/>
      <c r="R2" s="6"/>
      <c r="S2" s="6"/>
      <c r="T2" s="6"/>
      <c r="U2" s="6"/>
      <c r="V2" s="1"/>
    </row>
    <row r="3" spans="2:22" s="7" customFormat="1" x14ac:dyDescent="0.25">
      <c r="B3" s="14" t="s">
        <v>7</v>
      </c>
      <c r="C3" s="15"/>
      <c r="D3" s="15"/>
      <c r="E3" s="15"/>
      <c r="F3" s="15"/>
      <c r="G3" s="15"/>
      <c r="H3" s="15"/>
      <c r="I3" s="16"/>
      <c r="J3" s="16"/>
      <c r="K3" s="17"/>
      <c r="L3" s="18"/>
      <c r="M3" s="1"/>
      <c r="N3" s="6"/>
      <c r="O3" s="6"/>
      <c r="P3" s="6"/>
      <c r="Q3" s="6"/>
      <c r="T3" s="7" t="s">
        <v>48</v>
      </c>
      <c r="V3" s="1"/>
    </row>
    <row r="4" spans="2:22" s="7" customFormat="1" x14ac:dyDescent="0.25">
      <c r="B4" s="19" t="s">
        <v>8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f>SUM(C4:H4)</f>
        <v>0</v>
      </c>
      <c r="J4" s="78">
        <v>0</v>
      </c>
      <c r="K4" s="137">
        <f>J4/(J4+J5)</f>
        <v>0</v>
      </c>
      <c r="L4" s="80">
        <f>I4-J4</f>
        <v>0</v>
      </c>
      <c r="M4" s="1"/>
      <c r="N4" s="6"/>
      <c r="O4" s="6"/>
      <c r="P4" s="6"/>
      <c r="Q4" s="6"/>
      <c r="R4" s="49" t="s">
        <v>103</v>
      </c>
      <c r="S4" s="21">
        <f>K20</f>
        <v>224287.90322580645</v>
      </c>
      <c r="T4" s="123">
        <f>S4/1000</f>
        <v>224.28790322580645</v>
      </c>
      <c r="U4" s="124"/>
      <c r="V4" s="1"/>
    </row>
    <row r="5" spans="2:22" s="7" customFormat="1" x14ac:dyDescent="0.25">
      <c r="B5" s="19" t="s">
        <v>9</v>
      </c>
      <c r="C5" s="77">
        <v>318</v>
      </c>
      <c r="D5" s="77">
        <v>0</v>
      </c>
      <c r="E5" s="77">
        <v>0</v>
      </c>
      <c r="F5" s="77">
        <v>0</v>
      </c>
      <c r="G5" s="77">
        <v>24008</v>
      </c>
      <c r="H5" s="77">
        <v>0</v>
      </c>
      <c r="I5" s="77">
        <f t="shared" ref="I5:I10" si="0">SUM(C5:H5)</f>
        <v>24326</v>
      </c>
      <c r="J5" s="78">
        <v>20900</v>
      </c>
      <c r="K5" s="137">
        <f>J5/(J4+J5)</f>
        <v>1</v>
      </c>
      <c r="L5" s="80">
        <f>I5-J5</f>
        <v>3426</v>
      </c>
      <c r="M5" s="1"/>
      <c r="N5" s="6"/>
      <c r="O5" s="6"/>
      <c r="P5" s="6"/>
      <c r="Q5" s="6"/>
      <c r="R5" s="7" t="s">
        <v>104</v>
      </c>
      <c r="S5" s="21">
        <f>IF(J28&gt;0,0,J28)*-1</f>
        <v>0</v>
      </c>
      <c r="T5" s="123">
        <f>S5/1000</f>
        <v>0</v>
      </c>
      <c r="V5" s="1"/>
    </row>
    <row r="6" spans="2:22" s="7" customFormat="1" x14ac:dyDescent="0.25">
      <c r="B6" s="19" t="s">
        <v>10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f t="shared" si="0"/>
        <v>0</v>
      </c>
      <c r="J6" s="78">
        <v>0</v>
      </c>
      <c r="K6" s="79"/>
      <c r="L6" s="80"/>
      <c r="M6" s="1"/>
      <c r="N6" s="6"/>
      <c r="O6" s="6"/>
      <c r="P6" s="6"/>
      <c r="Q6" s="6"/>
      <c r="R6" s="49" t="s">
        <v>50</v>
      </c>
      <c r="S6" s="123">
        <f>G10+G20+G40</f>
        <v>132814</v>
      </c>
      <c r="T6" s="123">
        <f>S6/1000</f>
        <v>132.81399999999999</v>
      </c>
      <c r="U6" s="124"/>
      <c r="V6" s="1"/>
    </row>
    <row r="7" spans="2:22" s="7" customFormat="1" x14ac:dyDescent="0.25">
      <c r="B7" s="19" t="s">
        <v>11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f t="shared" si="0"/>
        <v>0</v>
      </c>
      <c r="J7" s="78">
        <v>0</v>
      </c>
      <c r="K7" s="79"/>
      <c r="L7" s="80"/>
      <c r="M7" s="1"/>
      <c r="N7" s="6"/>
      <c r="O7" s="6"/>
      <c r="P7" s="6"/>
      <c r="Q7" s="6"/>
      <c r="R7" s="49" t="s">
        <v>53</v>
      </c>
      <c r="S7" s="123">
        <f>D10+D20</f>
        <v>0</v>
      </c>
      <c r="T7" s="123">
        <f t="shared" ref="T7:T14" si="1">S7/1000</f>
        <v>0</v>
      </c>
      <c r="U7" s="124"/>
      <c r="V7" s="1"/>
    </row>
    <row r="8" spans="2:22" s="7" customFormat="1" x14ac:dyDescent="0.25">
      <c r="B8" s="19" t="s">
        <v>12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f t="shared" si="0"/>
        <v>0</v>
      </c>
      <c r="J8" s="78">
        <v>0</v>
      </c>
      <c r="K8" s="79"/>
      <c r="L8" s="80"/>
      <c r="M8" s="1"/>
      <c r="N8" s="6"/>
      <c r="O8" s="6"/>
      <c r="P8" s="6"/>
      <c r="Q8" s="6"/>
      <c r="S8" s="123"/>
      <c r="T8" s="123">
        <f t="shared" si="1"/>
        <v>0</v>
      </c>
      <c r="U8" s="124"/>
      <c r="V8" s="1"/>
    </row>
    <row r="9" spans="2:22" s="7" customFormat="1" x14ac:dyDescent="0.25">
      <c r="B9" s="19" t="s">
        <v>13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f t="shared" si="0"/>
        <v>0</v>
      </c>
      <c r="J9" s="78">
        <v>1000</v>
      </c>
      <c r="K9" s="79"/>
      <c r="L9" s="80"/>
      <c r="M9" s="1"/>
      <c r="N9" s="6"/>
      <c r="O9" s="6"/>
      <c r="P9" s="6"/>
      <c r="Q9" s="6"/>
      <c r="R9" s="125" t="s">
        <v>105</v>
      </c>
      <c r="S9" s="123"/>
      <c r="T9" s="123">
        <f t="shared" si="1"/>
        <v>0</v>
      </c>
      <c r="U9" s="124"/>
      <c r="V9" s="1"/>
    </row>
    <row r="10" spans="2:22" s="7" customFormat="1" x14ac:dyDescent="0.25">
      <c r="B10" s="19" t="s">
        <v>14</v>
      </c>
      <c r="C10" s="78">
        <f t="shared" ref="C10:J10" si="2">SUM(C4:C9)</f>
        <v>318</v>
      </c>
      <c r="D10" s="78">
        <f t="shared" si="2"/>
        <v>0</v>
      </c>
      <c r="E10" s="78">
        <f t="shared" si="2"/>
        <v>0</v>
      </c>
      <c r="F10" s="78">
        <f t="shared" si="2"/>
        <v>0</v>
      </c>
      <c r="G10" s="78">
        <f t="shared" si="2"/>
        <v>24008</v>
      </c>
      <c r="H10" s="78">
        <f t="shared" si="2"/>
        <v>0</v>
      </c>
      <c r="I10" s="77">
        <f t="shared" si="0"/>
        <v>24326</v>
      </c>
      <c r="J10" s="78">
        <f t="shared" si="2"/>
        <v>21900</v>
      </c>
      <c r="K10" s="79"/>
      <c r="L10" s="80">
        <f>SUM(L4:L9)</f>
        <v>3426</v>
      </c>
      <c r="M10" s="1"/>
      <c r="N10" s="6"/>
      <c r="O10" s="6"/>
      <c r="P10" s="6"/>
      <c r="Q10" s="6"/>
      <c r="R10" s="49" t="s">
        <v>55</v>
      </c>
      <c r="S10" s="123"/>
      <c r="T10" s="123">
        <f t="shared" si="1"/>
        <v>0</v>
      </c>
      <c r="U10" s="124"/>
      <c r="V10" s="1"/>
    </row>
    <row r="11" spans="2:22" s="7" customFormat="1" x14ac:dyDescent="0.25">
      <c r="B11" s="22"/>
      <c r="C11" s="83"/>
      <c r="D11" s="83"/>
      <c r="E11" s="83"/>
      <c r="F11" s="83"/>
      <c r="G11" s="83"/>
      <c r="H11" s="83"/>
      <c r="I11" s="83"/>
      <c r="J11" s="83"/>
      <c r="K11" s="84"/>
      <c r="L11" s="85"/>
      <c r="M11" s="1"/>
      <c r="N11" s="6"/>
      <c r="O11" s="6"/>
      <c r="P11" s="6"/>
      <c r="Q11" s="6"/>
      <c r="R11" s="49" t="s">
        <v>56</v>
      </c>
      <c r="S11" s="123">
        <f>E10+E20+E40</f>
        <v>3287.5</v>
      </c>
      <c r="T11" s="123">
        <f t="shared" si="1"/>
        <v>3.2875000000000001</v>
      </c>
      <c r="U11" s="124"/>
      <c r="V11" s="1"/>
    </row>
    <row r="12" spans="2:22" s="7" customFormat="1" x14ac:dyDescent="0.25">
      <c r="B12" s="23" t="s">
        <v>15</v>
      </c>
      <c r="C12" s="83"/>
      <c r="D12" s="83"/>
      <c r="E12" s="83"/>
      <c r="F12" s="83"/>
      <c r="G12" s="83"/>
      <c r="H12" s="83"/>
      <c r="I12" s="79"/>
      <c r="J12" s="79"/>
      <c r="K12" s="84">
        <v>0</v>
      </c>
      <c r="L12" s="85"/>
      <c r="M12" s="1"/>
      <c r="N12" s="6"/>
      <c r="O12" s="6"/>
      <c r="P12" s="6"/>
      <c r="Q12" s="6"/>
      <c r="R12" s="49" t="s">
        <v>25</v>
      </c>
      <c r="S12" s="123">
        <f>H10+H20+H40</f>
        <v>0</v>
      </c>
      <c r="T12" s="123">
        <f t="shared" si="1"/>
        <v>0</v>
      </c>
      <c r="U12" s="124"/>
      <c r="V12" s="1"/>
    </row>
    <row r="13" spans="2:22" x14ac:dyDescent="0.25">
      <c r="B13" s="24"/>
      <c r="C13" s="78"/>
      <c r="D13" s="78"/>
      <c r="E13" s="78"/>
      <c r="F13" s="78"/>
      <c r="G13" s="78"/>
      <c r="H13" s="78"/>
      <c r="I13" s="78"/>
      <c r="J13" s="78"/>
      <c r="K13" s="78"/>
      <c r="L13" s="86"/>
      <c r="M13" s="6"/>
      <c r="R13" s="49" t="s">
        <v>57</v>
      </c>
      <c r="S13" s="123">
        <f>F10+F20+F40</f>
        <v>7608</v>
      </c>
      <c r="T13" s="123">
        <f t="shared" si="1"/>
        <v>7.6079999999999997</v>
      </c>
      <c r="U13" s="124"/>
    </row>
    <row r="14" spans="2:22" ht="18.75" x14ac:dyDescent="0.3">
      <c r="B14" s="26" t="s">
        <v>16</v>
      </c>
      <c r="C14" s="87"/>
      <c r="D14" s="87"/>
      <c r="E14" s="87"/>
      <c r="F14" s="87"/>
      <c r="G14" s="87"/>
      <c r="H14" s="87"/>
      <c r="I14" s="87"/>
      <c r="J14" s="111" t="s">
        <v>17</v>
      </c>
      <c r="K14" s="89" t="s">
        <v>18</v>
      </c>
      <c r="L14" s="90"/>
      <c r="M14" s="27" t="s">
        <v>19</v>
      </c>
      <c r="N14" s="28"/>
      <c r="R14" s="49" t="s">
        <v>58</v>
      </c>
      <c r="S14" s="123">
        <f>C10+C20+C40</f>
        <v>85876.5</v>
      </c>
      <c r="T14" s="123">
        <f t="shared" si="1"/>
        <v>85.876499999999993</v>
      </c>
      <c r="U14" s="124"/>
    </row>
    <row r="15" spans="2:22" x14ac:dyDescent="0.25">
      <c r="B15" s="19" t="s">
        <v>20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91">
        <f>J15/(1-M15)</f>
        <v>0</v>
      </c>
      <c r="L15" s="92">
        <f>I15-K15</f>
        <v>0</v>
      </c>
      <c r="M15" s="29">
        <v>0.03</v>
      </c>
      <c r="O15" s="30"/>
      <c r="R15" s="125" t="s">
        <v>106</v>
      </c>
      <c r="S15" s="123">
        <f>SUM(S4:S14)</f>
        <v>453873.90322580643</v>
      </c>
      <c r="T15" s="123">
        <f>SUM(T4:T14)</f>
        <v>453.87390322580643</v>
      </c>
      <c r="U15" s="124"/>
    </row>
    <row r="16" spans="2:22" x14ac:dyDescent="0.25">
      <c r="B16" s="19" t="s">
        <v>21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91">
        <f>J16/(1-M16)</f>
        <v>0</v>
      </c>
      <c r="L16" s="92">
        <f>I16-K16</f>
        <v>0</v>
      </c>
      <c r="M16" s="29">
        <v>0.03</v>
      </c>
      <c r="O16" s="30"/>
      <c r="R16" t="s">
        <v>107</v>
      </c>
      <c r="S16" s="57">
        <f>J8</f>
        <v>0</v>
      </c>
      <c r="T16" s="57">
        <f>S16/1000</f>
        <v>0</v>
      </c>
      <c r="U16" s="124"/>
    </row>
    <row r="17" spans="2:22" x14ac:dyDescent="0.25">
      <c r="B17" s="19" t="s">
        <v>22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91">
        <f>J17/(1-M17)</f>
        <v>0</v>
      </c>
      <c r="L17" s="92">
        <f>I17-K17</f>
        <v>0</v>
      </c>
      <c r="M17" s="29">
        <v>0.03</v>
      </c>
      <c r="O17" s="30"/>
      <c r="R17" t="s">
        <v>108</v>
      </c>
      <c r="S17" s="57">
        <f>J9</f>
        <v>1000</v>
      </c>
      <c r="T17" s="57">
        <f t="shared" ref="T17:T18" si="3">S17/1000</f>
        <v>1</v>
      </c>
      <c r="U17" s="124"/>
      <c r="V17" s="6"/>
    </row>
    <row r="18" spans="2:22" x14ac:dyDescent="0.25">
      <c r="B18" s="19" t="s">
        <v>23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173">
        <v>101544</v>
      </c>
      <c r="K18" s="91">
        <f>J18/(1-M18)</f>
        <v>102362.90322580645</v>
      </c>
      <c r="L18" s="92"/>
      <c r="M18" s="31">
        <v>8.0000000000000002E-3</v>
      </c>
      <c r="O18" s="30"/>
      <c r="R18" t="s">
        <v>109</v>
      </c>
      <c r="S18" s="57">
        <f>J6+J7</f>
        <v>0</v>
      </c>
      <c r="T18" s="57">
        <f t="shared" si="3"/>
        <v>0</v>
      </c>
      <c r="U18"/>
    </row>
    <row r="19" spans="2:22" x14ac:dyDescent="0.25">
      <c r="B19" s="19" t="s">
        <v>24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173">
        <v>121925</v>
      </c>
      <c r="K19" s="91">
        <f>J19/(1-M19)</f>
        <v>121925</v>
      </c>
      <c r="L19" s="92"/>
      <c r="M19" s="1">
        <v>0</v>
      </c>
      <c r="O19" s="30"/>
      <c r="R19" t="s">
        <v>110</v>
      </c>
      <c r="S19" s="57">
        <f>SUM(S15:S18)</f>
        <v>454873.90322580643</v>
      </c>
      <c r="T19" s="57">
        <f>SUM(T15:T18)</f>
        <v>454.87390322580643</v>
      </c>
      <c r="U19"/>
    </row>
    <row r="20" spans="2:22" x14ac:dyDescent="0.25">
      <c r="B20" s="19" t="s">
        <v>14</v>
      </c>
      <c r="C20" s="78">
        <f t="shared" ref="C20:I20" si="4">SUM(C15:C19)</f>
        <v>0</v>
      </c>
      <c r="D20" s="78">
        <f t="shared" si="4"/>
        <v>0</v>
      </c>
      <c r="E20" s="78">
        <f t="shared" si="4"/>
        <v>0</v>
      </c>
      <c r="F20" s="78">
        <f t="shared" si="4"/>
        <v>0</v>
      </c>
      <c r="G20" s="78">
        <f t="shared" si="4"/>
        <v>0</v>
      </c>
      <c r="H20" s="78">
        <f t="shared" si="4"/>
        <v>0</v>
      </c>
      <c r="I20" s="78">
        <f t="shared" si="4"/>
        <v>0</v>
      </c>
      <c r="J20" s="78">
        <f>SUM(J15:J19)</f>
        <v>223469</v>
      </c>
      <c r="K20" s="93">
        <f>SUM(K15:K19)</f>
        <v>224287.90322580645</v>
      </c>
      <c r="L20" s="93">
        <f>SUM(L15:L19)</f>
        <v>0</v>
      </c>
      <c r="M20" s="32"/>
      <c r="N20" s="33"/>
      <c r="O20" s="30"/>
      <c r="R20"/>
      <c r="S20"/>
      <c r="T20"/>
      <c r="U20"/>
    </row>
    <row r="21" spans="2:22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7"/>
      <c r="L21" s="86"/>
      <c r="M21" s="30"/>
      <c r="R21" s="19" t="s">
        <v>111</v>
      </c>
      <c r="S21" s="21">
        <f>IF(J28&lt;0,0,J28)</f>
        <v>128198.95999999999</v>
      </c>
      <c r="T21" s="123">
        <f t="shared" ref="T21:T27" si="5">S21/1000</f>
        <v>128.19896</v>
      </c>
      <c r="U21" s="124"/>
    </row>
    <row r="22" spans="2:22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86"/>
      <c r="R22" s="19" t="s">
        <v>35</v>
      </c>
      <c r="S22" s="126">
        <f>K32</f>
        <v>5645</v>
      </c>
      <c r="T22" s="123">
        <f t="shared" si="5"/>
        <v>5.6449999999999996</v>
      </c>
      <c r="U22" s="124"/>
    </row>
    <row r="23" spans="2:22" ht="15.75" thickBot="1" x14ac:dyDescent="0.3">
      <c r="B23" s="35" t="s">
        <v>25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R23" s="19" t="s">
        <v>36</v>
      </c>
      <c r="S23" s="126">
        <f>K33</f>
        <v>118670</v>
      </c>
      <c r="T23" s="123">
        <f t="shared" si="5"/>
        <v>118.67</v>
      </c>
      <c r="U23" s="124"/>
    </row>
    <row r="24" spans="2:22" x14ac:dyDescent="0.25">
      <c r="C24" s="77"/>
      <c r="D24" s="77"/>
      <c r="E24" s="77"/>
      <c r="F24" s="77"/>
      <c r="G24" s="77"/>
      <c r="H24" s="77"/>
      <c r="I24" s="77"/>
      <c r="J24" s="77"/>
      <c r="K24" s="77"/>
      <c r="L24" s="77"/>
      <c r="R24" s="19" t="s">
        <v>37</v>
      </c>
      <c r="S24" s="126">
        <f>K34</f>
        <v>12085</v>
      </c>
      <c r="T24" s="123">
        <f t="shared" si="5"/>
        <v>12.085000000000001</v>
      </c>
      <c r="U24" s="124"/>
    </row>
    <row r="25" spans="2:22" ht="15.75" thickBot="1" x14ac:dyDescent="0.3">
      <c r="C25" s="77"/>
      <c r="D25" s="77"/>
      <c r="E25" s="77"/>
      <c r="F25" s="77"/>
      <c r="G25" s="77"/>
      <c r="H25" s="77"/>
      <c r="I25" s="77"/>
      <c r="J25" s="77"/>
      <c r="K25" s="77"/>
      <c r="L25" s="77"/>
      <c r="R25" s="19" t="s">
        <v>38</v>
      </c>
      <c r="S25" s="126">
        <f>K35</f>
        <v>83704</v>
      </c>
      <c r="T25" s="123">
        <f t="shared" si="5"/>
        <v>83.703999999999994</v>
      </c>
      <c r="U25" s="124"/>
    </row>
    <row r="26" spans="2:22" x14ac:dyDescent="0.25">
      <c r="B26" s="8"/>
      <c r="C26" s="96"/>
      <c r="D26" s="96"/>
      <c r="E26" s="96"/>
      <c r="F26" s="96"/>
      <c r="G26" s="96"/>
      <c r="H26" s="77"/>
      <c r="I26" s="97" t="s">
        <v>26</v>
      </c>
      <c r="J26" s="98" t="s">
        <v>27</v>
      </c>
      <c r="K26" s="77"/>
      <c r="L26" s="77"/>
      <c r="M26" s="38" t="s">
        <v>28</v>
      </c>
      <c r="R26" s="19" t="s">
        <v>39</v>
      </c>
      <c r="S26" s="126">
        <f>K36</f>
        <v>15474</v>
      </c>
      <c r="T26" s="123">
        <f t="shared" si="5"/>
        <v>15.474</v>
      </c>
      <c r="U26" s="124"/>
    </row>
    <row r="27" spans="2:22" x14ac:dyDescent="0.25">
      <c r="B27" s="39" t="s">
        <v>29</v>
      </c>
      <c r="C27" s="78"/>
      <c r="D27" s="78"/>
      <c r="E27" s="78"/>
      <c r="F27" s="78"/>
      <c r="G27" s="78"/>
      <c r="H27" s="77"/>
      <c r="I27" s="72">
        <f>J10-I40</f>
        <v>3487</v>
      </c>
      <c r="J27" s="80">
        <f>J40*8%</f>
        <v>7057.04</v>
      </c>
      <c r="K27" s="77"/>
      <c r="L27" s="77"/>
      <c r="M27" s="40">
        <f>100-(I40/J10*100)</f>
        <v>15.922374429223737</v>
      </c>
      <c r="R27" s="19" t="s">
        <v>44</v>
      </c>
      <c r="S27" s="126">
        <f>K41</f>
        <v>76308</v>
      </c>
      <c r="T27" s="123">
        <f t="shared" si="5"/>
        <v>76.308000000000007</v>
      </c>
      <c r="U27" s="124"/>
    </row>
    <row r="28" spans="2:22" ht="15.75" thickBot="1" x14ac:dyDescent="0.3">
      <c r="B28" s="35" t="s">
        <v>30</v>
      </c>
      <c r="C28" s="94"/>
      <c r="D28" s="94"/>
      <c r="E28" s="94"/>
      <c r="F28" s="94"/>
      <c r="G28" s="94"/>
      <c r="H28" s="94"/>
      <c r="I28" s="99">
        <f>I40+I27-J10</f>
        <v>0</v>
      </c>
      <c r="J28" s="122">
        <f>J20-J27-J40</f>
        <v>128198.95999999999</v>
      </c>
      <c r="K28" s="77"/>
      <c r="L28" s="77"/>
      <c r="M28" s="1" t="str">
        <f>IF(M27&gt;10,"OBS! HÖGA FÖRLUSTER","OK")</f>
        <v>OBS! HÖGA FÖRLUSTER</v>
      </c>
      <c r="R28" s="19" t="s">
        <v>112</v>
      </c>
      <c r="S28" s="58">
        <f>SUM(S22:S27)</f>
        <v>311886</v>
      </c>
      <c r="T28" s="58">
        <f>SUM(T22:T27)</f>
        <v>311.88599999999997</v>
      </c>
      <c r="U28" s="124"/>
    </row>
    <row r="29" spans="2:22" ht="15.75" thickBot="1" x14ac:dyDescent="0.3">
      <c r="C29" s="77"/>
      <c r="D29" s="77"/>
      <c r="E29" s="77"/>
      <c r="F29" s="77"/>
      <c r="G29" s="77"/>
      <c r="H29" s="77"/>
      <c r="I29" s="77"/>
      <c r="J29" s="77"/>
      <c r="K29" s="77"/>
      <c r="L29" s="77"/>
      <c r="R29" s="127" t="s">
        <v>113</v>
      </c>
      <c r="S29" s="128"/>
      <c r="T29" s="129">
        <f t="shared" ref="T29:T36" si="6">S29/1000</f>
        <v>0</v>
      </c>
      <c r="U29" s="48"/>
    </row>
    <row r="30" spans="2:22" ht="15.75" thickBot="1" x14ac:dyDescent="0.3">
      <c r="B30" s="8"/>
      <c r="C30" s="100" t="s">
        <v>0</v>
      </c>
      <c r="D30" s="100"/>
      <c r="E30" s="100"/>
      <c r="F30" s="100" t="s">
        <v>1</v>
      </c>
      <c r="G30" s="100"/>
      <c r="H30" s="96"/>
      <c r="I30" s="96"/>
      <c r="J30" s="96"/>
      <c r="K30" s="101"/>
      <c r="L30" s="77"/>
      <c r="R30" s="49" t="s">
        <v>114</v>
      </c>
      <c r="S30" s="50">
        <f>J27</f>
        <v>7057.04</v>
      </c>
      <c r="T30" s="130">
        <f t="shared" si="6"/>
        <v>7.0570399999999998</v>
      </c>
      <c r="U30" s="53"/>
    </row>
    <row r="31" spans="2:22" ht="30" x14ac:dyDescent="0.25">
      <c r="B31" s="41" t="s">
        <v>31</v>
      </c>
      <c r="C31" s="102" t="s">
        <v>58</v>
      </c>
      <c r="D31" s="102" t="s">
        <v>53</v>
      </c>
      <c r="E31" s="102" t="s">
        <v>56</v>
      </c>
      <c r="F31" s="103" t="s">
        <v>57</v>
      </c>
      <c r="G31" s="103" t="s">
        <v>102</v>
      </c>
      <c r="H31" s="103" t="s">
        <v>25</v>
      </c>
      <c r="I31" s="104" t="s">
        <v>32</v>
      </c>
      <c r="J31" s="104" t="s">
        <v>33</v>
      </c>
      <c r="K31" s="105" t="s">
        <v>34</v>
      </c>
      <c r="L31" s="77"/>
      <c r="R31" s="49" t="s">
        <v>115</v>
      </c>
      <c r="S31" s="50">
        <f>I27</f>
        <v>3487</v>
      </c>
      <c r="T31" s="130">
        <f t="shared" si="6"/>
        <v>3.4870000000000001</v>
      </c>
      <c r="U31" s="53"/>
    </row>
    <row r="32" spans="2:22" x14ac:dyDescent="0.25">
      <c r="B32" s="19" t="s">
        <v>35</v>
      </c>
      <c r="C32" s="78">
        <v>2317</v>
      </c>
      <c r="D32" s="78">
        <v>0</v>
      </c>
      <c r="E32" s="78">
        <v>0</v>
      </c>
      <c r="F32" s="78">
        <v>252</v>
      </c>
      <c r="G32" s="78">
        <v>0</v>
      </c>
      <c r="H32" s="78">
        <v>0</v>
      </c>
      <c r="I32" s="78">
        <v>0</v>
      </c>
      <c r="J32" s="78">
        <v>3076</v>
      </c>
      <c r="K32" s="80">
        <f>SUM(C32:J32)</f>
        <v>5645</v>
      </c>
      <c r="L32" s="77"/>
      <c r="R32" s="49" t="s">
        <v>116</v>
      </c>
      <c r="S32" s="50">
        <f>K20-J20</f>
        <v>818.90322580645443</v>
      </c>
      <c r="T32" s="130">
        <f t="shared" si="6"/>
        <v>0.81890322580645447</v>
      </c>
      <c r="U32"/>
    </row>
    <row r="33" spans="2:39" ht="17.25" x14ac:dyDescent="0.4">
      <c r="B33" s="19" t="s">
        <v>36</v>
      </c>
      <c r="C33" s="82">
        <v>5508.5</v>
      </c>
      <c r="D33" s="78">
        <v>0</v>
      </c>
      <c r="E33" s="82">
        <v>3287.5</v>
      </c>
      <c r="F33" s="78">
        <v>412</v>
      </c>
      <c r="G33" s="82">
        <v>75926</v>
      </c>
      <c r="H33" s="78">
        <v>0</v>
      </c>
      <c r="I33" s="78">
        <v>2653</v>
      </c>
      <c r="J33" s="78">
        <v>30883</v>
      </c>
      <c r="K33" s="80">
        <f t="shared" ref="K33:K40" si="7">SUM(C33:J33)</f>
        <v>118670</v>
      </c>
      <c r="L33" s="77"/>
      <c r="R33" s="49" t="s">
        <v>117</v>
      </c>
      <c r="S33" s="50">
        <f>L4</f>
        <v>0</v>
      </c>
      <c r="T33" s="130">
        <f t="shared" si="6"/>
        <v>0</v>
      </c>
      <c r="U33" s="53"/>
    </row>
    <row r="34" spans="2:39" x14ac:dyDescent="0.25">
      <c r="B34" s="19" t="s">
        <v>37</v>
      </c>
      <c r="C34" s="78">
        <v>237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5923</v>
      </c>
      <c r="J34" s="78">
        <v>5925</v>
      </c>
      <c r="K34" s="80">
        <f t="shared" si="7"/>
        <v>12085</v>
      </c>
      <c r="L34" s="77"/>
      <c r="R34" s="49" t="s">
        <v>118</v>
      </c>
      <c r="S34" s="50">
        <f>L5</f>
        <v>3426</v>
      </c>
      <c r="T34" s="130">
        <f t="shared" si="6"/>
        <v>3.4260000000000002</v>
      </c>
      <c r="U34" s="53"/>
    </row>
    <row r="35" spans="2:39" x14ac:dyDescent="0.25">
      <c r="B35" s="19" t="s">
        <v>38</v>
      </c>
      <c r="C35" s="78">
        <v>76332</v>
      </c>
      <c r="D35" s="78">
        <v>0</v>
      </c>
      <c r="E35" s="78">
        <v>0</v>
      </c>
      <c r="F35" s="78">
        <v>6944</v>
      </c>
      <c r="G35" s="78">
        <v>0</v>
      </c>
      <c r="H35" s="78">
        <v>0</v>
      </c>
      <c r="I35" s="78">
        <v>0</v>
      </c>
      <c r="J35" s="78">
        <v>428</v>
      </c>
      <c r="K35" s="80">
        <f t="shared" si="7"/>
        <v>83704</v>
      </c>
      <c r="L35" s="77"/>
      <c r="R35" s="49" t="s">
        <v>119</v>
      </c>
      <c r="S35" s="50">
        <f>L15</f>
        <v>0</v>
      </c>
      <c r="T35" s="130">
        <f t="shared" si="6"/>
        <v>0</v>
      </c>
      <c r="U35" s="53"/>
    </row>
    <row r="36" spans="2:39" ht="15.75" thickBot="1" x14ac:dyDescent="0.3">
      <c r="B36" s="19" t="s">
        <v>39</v>
      </c>
      <c r="C36" s="78">
        <v>403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2085</v>
      </c>
      <c r="J36" s="78">
        <v>12986</v>
      </c>
      <c r="K36" s="80">
        <f t="shared" si="7"/>
        <v>15474</v>
      </c>
      <c r="L36" s="77"/>
      <c r="R36" s="54" t="s">
        <v>120</v>
      </c>
      <c r="S36" s="131">
        <f>L16</f>
        <v>0</v>
      </c>
      <c r="T36" s="132">
        <f t="shared" si="6"/>
        <v>0</v>
      </c>
    </row>
    <row r="37" spans="2:39" x14ac:dyDescent="0.25">
      <c r="B37" s="19" t="s">
        <v>40</v>
      </c>
      <c r="C37" s="78">
        <v>761</v>
      </c>
      <c r="D37" s="78">
        <v>0</v>
      </c>
      <c r="E37" s="78">
        <v>0</v>
      </c>
      <c r="F37" s="78">
        <v>0</v>
      </c>
      <c r="G37" s="78">
        <v>32880</v>
      </c>
      <c r="H37" s="78">
        <v>0</v>
      </c>
      <c r="I37" s="78">
        <v>1997</v>
      </c>
      <c r="J37" s="78">
        <v>30600</v>
      </c>
      <c r="K37" s="80">
        <f t="shared" si="7"/>
        <v>66238</v>
      </c>
      <c r="L37" s="77"/>
      <c r="R37" s="125" t="s">
        <v>121</v>
      </c>
      <c r="S37" s="133">
        <f>SUM(S30:S36)</f>
        <v>14788.943225806455</v>
      </c>
      <c r="T37" s="134">
        <f>SUM(T30:T36)</f>
        <v>14.788943225806454</v>
      </c>
      <c r="U37"/>
    </row>
    <row r="38" spans="2:39" x14ac:dyDescent="0.25">
      <c r="B38" s="19" t="s">
        <v>41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5755</v>
      </c>
      <c r="J38" s="78">
        <v>2163</v>
      </c>
      <c r="K38" s="80">
        <f t="shared" si="7"/>
        <v>7918</v>
      </c>
      <c r="L38" s="108"/>
      <c r="N38" s="6"/>
      <c r="O38" s="6"/>
      <c r="P38" s="6"/>
      <c r="Q38" s="6"/>
      <c r="R38" s="125" t="s">
        <v>122</v>
      </c>
      <c r="S38"/>
      <c r="T38" s="58">
        <f>T28+T37+T21</f>
        <v>454.87390322580643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2:39" x14ac:dyDescent="0.25">
      <c r="B39" s="19" t="s">
        <v>42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2152</v>
      </c>
      <c r="K39" s="80">
        <f t="shared" si="7"/>
        <v>2152</v>
      </c>
      <c r="L39" s="77"/>
      <c r="R39" s="1" t="s">
        <v>123</v>
      </c>
      <c r="S39"/>
      <c r="T39" s="135">
        <f>T19-T38</f>
        <v>0</v>
      </c>
      <c r="U39" s="136"/>
    </row>
    <row r="40" spans="2:39" ht="17.25" x14ac:dyDescent="0.4">
      <c r="B40" s="19" t="s">
        <v>43</v>
      </c>
      <c r="C40" s="75">
        <f>SUM(C32:C39)</f>
        <v>85558.5</v>
      </c>
      <c r="D40" s="72">
        <f t="shared" ref="D40:J40" si="8">SUM(D32:D39)</f>
        <v>0</v>
      </c>
      <c r="E40" s="75">
        <f t="shared" si="8"/>
        <v>3287.5</v>
      </c>
      <c r="F40" s="72">
        <f t="shared" si="8"/>
        <v>7608</v>
      </c>
      <c r="G40" s="75">
        <f t="shared" si="8"/>
        <v>108806</v>
      </c>
      <c r="H40" s="72">
        <f t="shared" si="8"/>
        <v>0</v>
      </c>
      <c r="I40" s="72">
        <f t="shared" si="8"/>
        <v>18413</v>
      </c>
      <c r="J40" s="72">
        <f t="shared" si="8"/>
        <v>88213</v>
      </c>
      <c r="K40" s="80">
        <f t="shared" si="7"/>
        <v>311886</v>
      </c>
      <c r="L40" s="77"/>
    </row>
    <row r="41" spans="2:39" x14ac:dyDescent="0.25">
      <c r="B41" s="19" t="s">
        <v>44</v>
      </c>
      <c r="C41" s="72">
        <f>SUM(C37:C39)</f>
        <v>761</v>
      </c>
      <c r="D41" s="72">
        <f t="shared" ref="D41:K41" si="9">SUM(D37:D39)</f>
        <v>0</v>
      </c>
      <c r="E41" s="72">
        <f t="shared" si="9"/>
        <v>0</v>
      </c>
      <c r="F41" s="72">
        <f t="shared" si="9"/>
        <v>0</v>
      </c>
      <c r="G41" s="72">
        <f t="shared" si="9"/>
        <v>32880</v>
      </c>
      <c r="H41" s="72">
        <f t="shared" si="9"/>
        <v>0</v>
      </c>
      <c r="I41" s="72">
        <f t="shared" si="9"/>
        <v>7752</v>
      </c>
      <c r="J41" s="72">
        <f t="shared" si="9"/>
        <v>34915</v>
      </c>
      <c r="K41" s="72">
        <f t="shared" si="9"/>
        <v>76308</v>
      </c>
      <c r="L41" s="77"/>
    </row>
    <row r="42" spans="2:39" x14ac:dyDescent="0.25">
      <c r="B42" s="24"/>
      <c r="C42" s="78"/>
      <c r="D42" s="78"/>
      <c r="E42" s="78"/>
      <c r="F42" s="78"/>
      <c r="G42" s="78"/>
      <c r="H42" s="78"/>
      <c r="I42" s="78"/>
      <c r="J42" s="78"/>
      <c r="K42" s="86"/>
      <c r="L42" s="77"/>
    </row>
    <row r="43" spans="2:39" ht="15.75" thickBot="1" x14ac:dyDescent="0.3">
      <c r="B43" s="43"/>
      <c r="C43" s="44"/>
      <c r="D43" s="44"/>
      <c r="E43" s="44"/>
      <c r="F43" s="44"/>
      <c r="G43" s="44"/>
      <c r="H43" s="44"/>
      <c r="I43" s="44"/>
      <c r="J43" s="44"/>
      <c r="K43" s="45"/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3"/>
  <sheetViews>
    <sheetView tabSelected="1" zoomScale="70" zoomScaleNormal="70" workbookViewId="0">
      <selection activeCell="L20" sqref="L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8.85546875" style="1" bestFit="1" customWidth="1"/>
    <col min="4" max="5" width="9.28515625" style="1" bestFit="1" customWidth="1"/>
    <col min="6" max="6" width="10.7109375" style="1" customWidth="1"/>
    <col min="7" max="7" width="13.5703125" style="1" bestFit="1" customWidth="1"/>
    <col min="8" max="8" width="9.28515625" style="1" bestFit="1" customWidth="1"/>
    <col min="9" max="9" width="27.140625" style="1" customWidth="1"/>
    <col min="10" max="10" width="17.7109375" style="1" customWidth="1"/>
    <col min="11" max="11" width="20.42578125" style="1" customWidth="1"/>
    <col min="12" max="12" width="21.85546875" style="1" customWidth="1"/>
    <col min="13" max="13" width="25.5703125" style="1" customWidth="1"/>
    <col min="14" max="14" width="9.140625" style="1"/>
    <col min="15" max="15" width="10.7109375" style="1" bestFit="1" customWidth="1"/>
    <col min="16" max="17" width="9.140625" style="1"/>
    <col min="18" max="18" width="36" style="1" bestFit="1" customWidth="1"/>
    <col min="19" max="19" width="13.140625" style="1" bestFit="1" customWidth="1"/>
    <col min="20" max="16384" width="9.140625" style="1"/>
  </cols>
  <sheetData>
    <row r="1" spans="2:22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4"/>
      <c r="I1" s="5" t="s">
        <v>2</v>
      </c>
      <c r="J1" s="5" t="s">
        <v>3</v>
      </c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1"/>
    </row>
    <row r="2" spans="2:22" s="7" customFormat="1" ht="60" x14ac:dyDescent="0.25">
      <c r="B2" s="8"/>
      <c r="C2" s="9" t="s">
        <v>58</v>
      </c>
      <c r="D2" s="9" t="s">
        <v>53</v>
      </c>
      <c r="E2" s="9" t="s">
        <v>56</v>
      </c>
      <c r="F2" s="10" t="s">
        <v>57</v>
      </c>
      <c r="G2" s="10" t="s">
        <v>102</v>
      </c>
      <c r="H2" s="10" t="s">
        <v>25</v>
      </c>
      <c r="I2" s="11" t="s">
        <v>4</v>
      </c>
      <c r="J2" s="11" t="s">
        <v>5</v>
      </c>
      <c r="L2" s="12" t="s">
        <v>6</v>
      </c>
      <c r="M2" s="13"/>
      <c r="N2" s="6"/>
      <c r="O2" s="6"/>
      <c r="P2" s="6"/>
      <c r="Q2" s="6"/>
      <c r="R2" s="6"/>
      <c r="S2" s="6"/>
      <c r="T2" s="6"/>
      <c r="U2" s="6"/>
      <c r="V2" s="1"/>
    </row>
    <row r="3" spans="2:22" s="7" customFormat="1" x14ac:dyDescent="0.25">
      <c r="B3" s="14" t="s">
        <v>7</v>
      </c>
      <c r="C3" s="15"/>
      <c r="D3" s="15"/>
      <c r="E3" s="15"/>
      <c r="F3" s="15"/>
      <c r="G3" s="15"/>
      <c r="H3" s="15"/>
      <c r="I3" s="16"/>
      <c r="J3" s="16"/>
      <c r="K3" s="17"/>
      <c r="L3" s="18"/>
      <c r="M3" s="1"/>
      <c r="N3" s="6"/>
      <c r="O3" s="6"/>
      <c r="P3" s="6"/>
      <c r="Q3" s="6"/>
      <c r="T3" s="7" t="s">
        <v>48</v>
      </c>
      <c r="V3" s="1"/>
    </row>
    <row r="4" spans="2:22" s="7" customFormat="1" x14ac:dyDescent="0.25">
      <c r="B4" s="19" t="s">
        <v>8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8">
        <v>0</v>
      </c>
      <c r="K4" s="137">
        <f>J4/(J4+J5)</f>
        <v>0</v>
      </c>
      <c r="L4" s="80">
        <f>I4-J4</f>
        <v>0</v>
      </c>
      <c r="M4" s="1"/>
      <c r="N4" s="6"/>
      <c r="O4" s="6"/>
      <c r="P4" s="6"/>
      <c r="Q4" s="6"/>
      <c r="R4" s="49" t="s">
        <v>103</v>
      </c>
      <c r="S4" s="21">
        <f>K20</f>
        <v>772891.69354838715</v>
      </c>
      <c r="T4" s="123">
        <f>S4/1000</f>
        <v>772.89169354838714</v>
      </c>
      <c r="U4" s="124"/>
      <c r="V4" s="1"/>
    </row>
    <row r="5" spans="2:22" s="7" customFormat="1" ht="17.25" x14ac:dyDescent="0.4">
      <c r="B5" s="19" t="s">
        <v>9</v>
      </c>
      <c r="C5" s="81">
        <v>200</v>
      </c>
      <c r="D5" s="77">
        <v>0</v>
      </c>
      <c r="E5" s="77">
        <v>0</v>
      </c>
      <c r="F5" s="77">
        <v>0</v>
      </c>
      <c r="G5" s="81">
        <v>7400</v>
      </c>
      <c r="H5" s="77">
        <v>0</v>
      </c>
      <c r="I5" s="81">
        <v>7600</v>
      </c>
      <c r="J5" s="82">
        <v>8600</v>
      </c>
      <c r="K5" s="137">
        <f>J5/(J4+J5)</f>
        <v>1</v>
      </c>
      <c r="L5" s="80">
        <f>I5-J5</f>
        <v>-1000</v>
      </c>
      <c r="M5" s="1"/>
      <c r="N5" s="6"/>
      <c r="O5" s="6"/>
      <c r="P5" s="6"/>
      <c r="Q5" s="6"/>
      <c r="R5" s="7" t="s">
        <v>104</v>
      </c>
      <c r="S5" s="21">
        <f>IF(J28&gt;0,0,J28)*-1</f>
        <v>0</v>
      </c>
      <c r="T5" s="123">
        <f>S5/1000</f>
        <v>0</v>
      </c>
      <c r="V5" s="1"/>
    </row>
    <row r="6" spans="2:22" s="7" customFormat="1" x14ac:dyDescent="0.25">
      <c r="B6" s="19" t="s">
        <v>10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8">
        <v>0</v>
      </c>
      <c r="K6" s="79"/>
      <c r="L6" s="80"/>
      <c r="M6" s="1"/>
      <c r="N6" s="6"/>
      <c r="O6" s="6"/>
      <c r="P6" s="6"/>
      <c r="Q6" s="6"/>
      <c r="R6" s="49" t="s">
        <v>50</v>
      </c>
      <c r="S6" s="123">
        <f>G10+G20+G40</f>
        <v>97374</v>
      </c>
      <c r="T6" s="123">
        <f>S6/1000</f>
        <v>97.373999999999995</v>
      </c>
      <c r="U6" s="124"/>
      <c r="V6" s="1"/>
    </row>
    <row r="7" spans="2:22" s="7" customFormat="1" x14ac:dyDescent="0.25">
      <c r="B7" s="19" t="s">
        <v>11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8">
        <v>0</v>
      </c>
      <c r="K7" s="79"/>
      <c r="L7" s="80"/>
      <c r="M7" s="1"/>
      <c r="N7" s="6"/>
      <c r="O7" s="6"/>
      <c r="P7" s="6"/>
      <c r="Q7" s="6"/>
      <c r="R7" s="49" t="s">
        <v>53</v>
      </c>
      <c r="S7" s="123">
        <f>D10+D20</f>
        <v>0</v>
      </c>
      <c r="T7" s="123">
        <f t="shared" ref="T7:T14" si="0">S7/1000</f>
        <v>0</v>
      </c>
      <c r="U7" s="124"/>
      <c r="V7" s="1"/>
    </row>
    <row r="8" spans="2:22" s="7" customFormat="1" x14ac:dyDescent="0.25">
      <c r="B8" s="19" t="s">
        <v>12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8">
        <v>0</v>
      </c>
      <c r="K8" s="79"/>
      <c r="L8" s="80"/>
      <c r="M8" s="1"/>
      <c r="N8" s="6"/>
      <c r="O8" s="6"/>
      <c r="P8" s="6"/>
      <c r="Q8" s="6"/>
      <c r="S8" s="123"/>
      <c r="T8" s="123">
        <f t="shared" si="0"/>
        <v>0</v>
      </c>
      <c r="U8" s="124"/>
      <c r="V8" s="1"/>
    </row>
    <row r="9" spans="2:22" s="7" customFormat="1" x14ac:dyDescent="0.25">
      <c r="B9" s="19" t="s">
        <v>13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8">
        <v>0</v>
      </c>
      <c r="K9" s="79"/>
      <c r="L9" s="80"/>
      <c r="M9" s="1"/>
      <c r="N9" s="6"/>
      <c r="O9" s="6"/>
      <c r="P9" s="6"/>
      <c r="Q9" s="6"/>
      <c r="R9" s="125" t="s">
        <v>105</v>
      </c>
      <c r="S9" s="123"/>
      <c r="T9" s="123">
        <f t="shared" si="0"/>
        <v>0</v>
      </c>
      <c r="U9" s="124"/>
      <c r="V9" s="1"/>
    </row>
    <row r="10" spans="2:22" s="7" customFormat="1" ht="17.25" x14ac:dyDescent="0.4">
      <c r="B10" s="19" t="s">
        <v>14</v>
      </c>
      <c r="C10" s="82">
        <f t="shared" ref="C10:J10" si="1">SUM(C4:C9)</f>
        <v>200</v>
      </c>
      <c r="D10" s="78">
        <f t="shared" si="1"/>
        <v>0</v>
      </c>
      <c r="E10" s="78">
        <f t="shared" si="1"/>
        <v>0</v>
      </c>
      <c r="F10" s="78">
        <f t="shared" si="1"/>
        <v>0</v>
      </c>
      <c r="G10" s="82">
        <f t="shared" si="1"/>
        <v>7400</v>
      </c>
      <c r="H10" s="78">
        <f t="shared" si="1"/>
        <v>0</v>
      </c>
      <c r="I10" s="82">
        <f t="shared" si="1"/>
        <v>7600</v>
      </c>
      <c r="J10" s="82">
        <f t="shared" si="1"/>
        <v>8600</v>
      </c>
      <c r="K10" s="79"/>
      <c r="L10" s="80">
        <f>SUM(L4:L9)</f>
        <v>-1000</v>
      </c>
      <c r="M10" s="1"/>
      <c r="N10" s="6"/>
      <c r="O10" s="6"/>
      <c r="P10" s="6"/>
      <c r="Q10" s="6"/>
      <c r="R10" s="49" t="s">
        <v>55</v>
      </c>
      <c r="S10" s="123"/>
      <c r="T10" s="123">
        <f t="shared" si="0"/>
        <v>0</v>
      </c>
      <c r="U10" s="124"/>
      <c r="V10" s="1"/>
    </row>
    <row r="11" spans="2:22" s="7" customFormat="1" x14ac:dyDescent="0.25">
      <c r="B11" s="22"/>
      <c r="C11" s="83"/>
      <c r="D11" s="83"/>
      <c r="E11" s="83"/>
      <c r="F11" s="83"/>
      <c r="G11" s="83"/>
      <c r="H11" s="83"/>
      <c r="I11" s="83"/>
      <c r="J11" s="83"/>
      <c r="K11" s="84"/>
      <c r="L11" s="85"/>
      <c r="M11" s="1"/>
      <c r="N11" s="6"/>
      <c r="O11" s="6"/>
      <c r="P11" s="6"/>
      <c r="Q11" s="6"/>
      <c r="R11" s="49" t="s">
        <v>56</v>
      </c>
      <c r="S11" s="123">
        <f>E10+E20+E40</f>
        <v>0</v>
      </c>
      <c r="T11" s="123">
        <f t="shared" si="0"/>
        <v>0</v>
      </c>
      <c r="U11" s="124"/>
      <c r="V11" s="1"/>
    </row>
    <row r="12" spans="2:22" s="7" customFormat="1" x14ac:dyDescent="0.25">
      <c r="B12" s="23" t="s">
        <v>15</v>
      </c>
      <c r="C12" s="83"/>
      <c r="D12" s="83"/>
      <c r="E12" s="83"/>
      <c r="F12" s="83"/>
      <c r="G12" s="83"/>
      <c r="H12" s="83"/>
      <c r="I12" s="79"/>
      <c r="J12" s="79"/>
      <c r="K12" s="84"/>
      <c r="L12" s="85"/>
      <c r="M12" s="1"/>
      <c r="N12" s="6"/>
      <c r="O12" s="6"/>
      <c r="P12" s="6"/>
      <c r="Q12" s="6"/>
      <c r="R12" s="49" t="s">
        <v>25</v>
      </c>
      <c r="S12" s="123">
        <f>H10+H20+H40</f>
        <v>0</v>
      </c>
      <c r="T12" s="123">
        <f t="shared" si="0"/>
        <v>0</v>
      </c>
      <c r="U12" s="124"/>
      <c r="V12" s="1"/>
    </row>
    <row r="13" spans="2:22" x14ac:dyDescent="0.25">
      <c r="B13" s="24"/>
      <c r="C13" s="78"/>
      <c r="D13" s="78"/>
      <c r="E13" s="78"/>
      <c r="F13" s="78"/>
      <c r="G13" s="78"/>
      <c r="H13" s="78"/>
      <c r="I13" s="78"/>
      <c r="J13" s="78"/>
      <c r="K13" s="78"/>
      <c r="L13" s="86"/>
      <c r="M13" s="6"/>
      <c r="R13" s="49" t="s">
        <v>57</v>
      </c>
      <c r="S13" s="123">
        <f>F10+F20+F40</f>
        <v>8939</v>
      </c>
      <c r="T13" s="123">
        <f t="shared" si="0"/>
        <v>8.9390000000000001</v>
      </c>
      <c r="U13" s="124"/>
    </row>
    <row r="14" spans="2:22" ht="18.75" x14ac:dyDescent="0.3">
      <c r="B14" s="26" t="s">
        <v>16</v>
      </c>
      <c r="C14" s="87"/>
      <c r="D14" s="87"/>
      <c r="E14" s="87"/>
      <c r="F14" s="87"/>
      <c r="G14" s="87"/>
      <c r="H14" s="87"/>
      <c r="I14" s="87"/>
      <c r="J14" s="88" t="s">
        <v>17</v>
      </c>
      <c r="K14" s="89" t="s">
        <v>18</v>
      </c>
      <c r="L14" s="90"/>
      <c r="M14" s="27" t="s">
        <v>19</v>
      </c>
      <c r="N14" s="28"/>
      <c r="R14" s="49" t="s">
        <v>58</v>
      </c>
      <c r="S14" s="123">
        <f>C10+C20+C40</f>
        <v>104600</v>
      </c>
      <c r="T14" s="123">
        <f t="shared" si="0"/>
        <v>104.6</v>
      </c>
      <c r="U14" s="124"/>
    </row>
    <row r="15" spans="2:22" x14ac:dyDescent="0.25">
      <c r="B15" s="19" t="s">
        <v>20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91">
        <f>J15/(1-M15)</f>
        <v>0</v>
      </c>
      <c r="L15" s="92">
        <f>I15-K15</f>
        <v>0</v>
      </c>
      <c r="M15" s="29">
        <v>0.03</v>
      </c>
      <c r="O15" s="30"/>
      <c r="R15" s="125" t="s">
        <v>106</v>
      </c>
      <c r="S15" s="123">
        <f>SUM(S4:S14)</f>
        <v>983804.69354838715</v>
      </c>
      <c r="T15" s="123">
        <f>SUM(T4:T14)</f>
        <v>983.80469354838715</v>
      </c>
      <c r="U15" s="124"/>
    </row>
    <row r="16" spans="2:22" x14ac:dyDescent="0.25">
      <c r="B16" s="19" t="s">
        <v>21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91">
        <f>J16/(1-M16)</f>
        <v>0</v>
      </c>
      <c r="L16" s="92">
        <f>I16-K16</f>
        <v>0</v>
      </c>
      <c r="M16" s="29">
        <v>0.03</v>
      </c>
      <c r="O16" s="30"/>
      <c r="R16" t="s">
        <v>107</v>
      </c>
      <c r="S16" s="57">
        <f>J8</f>
        <v>0</v>
      </c>
      <c r="T16" s="57">
        <f>S16/1000</f>
        <v>0</v>
      </c>
      <c r="U16" s="124"/>
    </row>
    <row r="17" spans="2:22" x14ac:dyDescent="0.25">
      <c r="B17" s="19" t="s">
        <v>22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91">
        <f>J17/(1-M17)</f>
        <v>0</v>
      </c>
      <c r="L17" s="92">
        <f>I17-K17</f>
        <v>0</v>
      </c>
      <c r="M17" s="29">
        <v>0.03</v>
      </c>
      <c r="O17" s="30"/>
      <c r="R17" t="s">
        <v>108</v>
      </c>
      <c r="S17" s="57">
        <f>J9</f>
        <v>0</v>
      </c>
      <c r="T17" s="57">
        <f t="shared" ref="T17:T18" si="2">S17/1000</f>
        <v>0</v>
      </c>
      <c r="U17" s="124"/>
      <c r="V17" s="6"/>
    </row>
    <row r="18" spans="2:22" ht="17.25" x14ac:dyDescent="0.4">
      <c r="B18" s="19" t="s">
        <v>23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82">
        <v>736770</v>
      </c>
      <c r="K18" s="91">
        <f>J18/(1-M18)</f>
        <v>742711.69354838715</v>
      </c>
      <c r="L18" s="92"/>
      <c r="M18" s="31">
        <v>8.0000000000000002E-3</v>
      </c>
      <c r="O18" s="30"/>
      <c r="R18" t="s">
        <v>109</v>
      </c>
      <c r="S18" s="57">
        <f>J6+J7</f>
        <v>0</v>
      </c>
      <c r="T18" s="57">
        <f t="shared" si="2"/>
        <v>0</v>
      </c>
      <c r="U18"/>
    </row>
    <row r="19" spans="2:22" ht="17.25" x14ac:dyDescent="0.4">
      <c r="B19" s="19" t="s">
        <v>24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82">
        <v>30180</v>
      </c>
      <c r="K19" s="91">
        <f>J19/(1-M19)</f>
        <v>30180</v>
      </c>
      <c r="L19" s="92"/>
      <c r="M19" s="1">
        <v>0</v>
      </c>
      <c r="O19" s="30"/>
      <c r="R19" t="s">
        <v>110</v>
      </c>
      <c r="S19" s="57">
        <f>SUM(S15:S18)</f>
        <v>983804.69354838715</v>
      </c>
      <c r="T19" s="57">
        <f>SUM(T15:T18)</f>
        <v>983.80469354838715</v>
      </c>
      <c r="U19"/>
    </row>
    <row r="20" spans="2:22" x14ac:dyDescent="0.25">
      <c r="B20" s="19" t="s">
        <v>14</v>
      </c>
      <c r="C20" s="78">
        <f t="shared" ref="C20:I20" si="3">SUM(C15:C19)</f>
        <v>0</v>
      </c>
      <c r="D20" s="78">
        <f t="shared" si="3"/>
        <v>0</v>
      </c>
      <c r="E20" s="78">
        <f t="shared" si="3"/>
        <v>0</v>
      </c>
      <c r="F20" s="78">
        <f t="shared" si="3"/>
        <v>0</v>
      </c>
      <c r="G20" s="78">
        <f t="shared" si="3"/>
        <v>0</v>
      </c>
      <c r="H20" s="78">
        <f t="shared" si="3"/>
        <v>0</v>
      </c>
      <c r="I20" s="78">
        <f t="shared" si="3"/>
        <v>0</v>
      </c>
      <c r="J20" s="78">
        <f>SUM(J15:J19)</f>
        <v>766950</v>
      </c>
      <c r="K20" s="93">
        <f>SUM(K15:K19)</f>
        <v>772891.69354838715</v>
      </c>
      <c r="L20" s="93">
        <f>SUM(L15:L19)</f>
        <v>0</v>
      </c>
      <c r="M20" s="32"/>
      <c r="N20" s="33"/>
      <c r="O20" s="30"/>
      <c r="R20"/>
      <c r="S20"/>
      <c r="T20"/>
      <c r="U20"/>
    </row>
    <row r="21" spans="2:22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7"/>
      <c r="L21" s="86"/>
      <c r="M21" s="30"/>
      <c r="R21" s="19" t="s">
        <v>111</v>
      </c>
      <c r="S21" s="21">
        <f>IF(J28&lt;0,0,J28)</f>
        <v>598352.28</v>
      </c>
      <c r="T21" s="123">
        <f t="shared" ref="T21:T27" si="4">S21/1000</f>
        <v>598.35228000000006</v>
      </c>
      <c r="U21" s="124"/>
    </row>
    <row r="22" spans="2:22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86"/>
      <c r="R22" s="19" t="s">
        <v>35</v>
      </c>
      <c r="S22" s="126">
        <f>K32</f>
        <v>2905</v>
      </c>
      <c r="T22" s="123">
        <f t="shared" si="4"/>
        <v>2.9049999999999998</v>
      </c>
      <c r="U22" s="124"/>
    </row>
    <row r="23" spans="2:22" ht="15.75" thickBot="1" x14ac:dyDescent="0.3">
      <c r="B23" s="35" t="s">
        <v>25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R23" s="19" t="s">
        <v>36</v>
      </c>
      <c r="S23" s="126">
        <f>K33</f>
        <v>87459</v>
      </c>
      <c r="T23" s="123">
        <f t="shared" si="4"/>
        <v>87.459000000000003</v>
      </c>
      <c r="U23" s="124"/>
    </row>
    <row r="24" spans="2:22" x14ac:dyDescent="0.25">
      <c r="C24" s="77"/>
      <c r="D24" s="77"/>
      <c r="E24" s="77"/>
      <c r="F24" s="77"/>
      <c r="G24" s="77"/>
      <c r="H24" s="77"/>
      <c r="I24" s="77"/>
      <c r="J24" s="77"/>
      <c r="K24" s="77"/>
      <c r="L24" s="77"/>
      <c r="R24" s="19" t="s">
        <v>37</v>
      </c>
      <c r="S24" s="126">
        <f>K34</f>
        <v>19954.955833274162</v>
      </c>
      <c r="T24" s="123">
        <f t="shared" si="4"/>
        <v>19.954955833274163</v>
      </c>
      <c r="U24" s="124"/>
    </row>
    <row r="25" spans="2:22" ht="15.75" thickBot="1" x14ac:dyDescent="0.3">
      <c r="C25" s="77"/>
      <c r="D25" s="77"/>
      <c r="E25" s="77"/>
      <c r="F25" s="77"/>
      <c r="G25" s="77"/>
      <c r="H25" s="77"/>
      <c r="I25" s="77"/>
      <c r="J25" s="77"/>
      <c r="K25" s="77"/>
      <c r="L25" s="77"/>
      <c r="R25" s="19" t="s">
        <v>38</v>
      </c>
      <c r="S25" s="126">
        <f>K35</f>
        <v>108148</v>
      </c>
      <c r="T25" s="123">
        <f t="shared" si="4"/>
        <v>108.148</v>
      </c>
      <c r="U25" s="124"/>
    </row>
    <row r="26" spans="2:22" x14ac:dyDescent="0.25">
      <c r="B26" s="8"/>
      <c r="C26" s="96"/>
      <c r="D26" s="96"/>
      <c r="E26" s="96"/>
      <c r="F26" s="96"/>
      <c r="G26" s="96"/>
      <c r="H26" s="77"/>
      <c r="I26" s="97" t="s">
        <v>26</v>
      </c>
      <c r="J26" s="98" t="s">
        <v>27</v>
      </c>
      <c r="K26" s="77"/>
      <c r="L26" s="77"/>
      <c r="M26" s="38" t="s">
        <v>28</v>
      </c>
      <c r="R26" s="19" t="s">
        <v>39</v>
      </c>
      <c r="S26" s="126">
        <f>K36</f>
        <v>42311.044166725842</v>
      </c>
      <c r="T26" s="123">
        <f t="shared" si="4"/>
        <v>42.311044166725843</v>
      </c>
      <c r="U26" s="124"/>
    </row>
    <row r="27" spans="2:22" x14ac:dyDescent="0.25">
      <c r="B27" s="39" t="s">
        <v>29</v>
      </c>
      <c r="C27" s="78"/>
      <c r="D27" s="78"/>
      <c r="E27" s="78"/>
      <c r="F27" s="78"/>
      <c r="G27" s="78"/>
      <c r="H27" s="77"/>
      <c r="I27" s="72">
        <f>J10-I40</f>
        <v>2400</v>
      </c>
      <c r="J27" s="80">
        <f>J40*8%</f>
        <v>12488.720000000001</v>
      </c>
      <c r="K27" s="77"/>
      <c r="L27" s="77"/>
      <c r="M27" s="40">
        <f>100-(I40/J10*100)</f>
        <v>27.906976744186053</v>
      </c>
      <c r="R27" s="19" t="s">
        <v>44</v>
      </c>
      <c r="S27" s="126">
        <f>K41</f>
        <v>104844</v>
      </c>
      <c r="T27" s="123">
        <f t="shared" si="4"/>
        <v>104.84399999999999</v>
      </c>
      <c r="U27" s="124"/>
    </row>
    <row r="28" spans="2:22" ht="15.75" thickBot="1" x14ac:dyDescent="0.3">
      <c r="B28" s="35" t="s">
        <v>30</v>
      </c>
      <c r="C28" s="94"/>
      <c r="D28" s="94"/>
      <c r="E28" s="94"/>
      <c r="F28" s="94"/>
      <c r="G28" s="94"/>
      <c r="H28" s="94"/>
      <c r="I28" s="99">
        <f>I40+I27-J10</f>
        <v>0</v>
      </c>
      <c r="J28" s="122">
        <f>J20-J27-J40</f>
        <v>598352.28</v>
      </c>
      <c r="K28" s="77"/>
      <c r="L28" s="77"/>
      <c r="M28" s="1" t="str">
        <f>IF(M27&gt;10,"OBS! HÖGA FÖRLUSTER","OK")</f>
        <v>OBS! HÖGA FÖRLUSTER</v>
      </c>
      <c r="R28" s="19" t="s">
        <v>112</v>
      </c>
      <c r="S28" s="58">
        <f>SUM(S22:S27)</f>
        <v>365622</v>
      </c>
      <c r="T28" s="58">
        <f>SUM(T22:T27)</f>
        <v>365.62200000000001</v>
      </c>
      <c r="U28" s="124"/>
    </row>
    <row r="29" spans="2:22" ht="15.75" thickBot="1" x14ac:dyDescent="0.3">
      <c r="C29" s="77"/>
      <c r="D29" s="77"/>
      <c r="E29" s="77"/>
      <c r="F29" s="77"/>
      <c r="G29" s="77"/>
      <c r="H29" s="77"/>
      <c r="I29" s="77"/>
      <c r="J29" s="77"/>
      <c r="K29" s="77"/>
      <c r="L29" s="77"/>
      <c r="R29" s="127" t="s">
        <v>113</v>
      </c>
      <c r="S29" s="128"/>
      <c r="T29" s="129">
        <f t="shared" ref="T29:T36" si="5">S29/1000</f>
        <v>0</v>
      </c>
      <c r="U29" s="48"/>
    </row>
    <row r="30" spans="2:22" ht="15.75" thickBot="1" x14ac:dyDescent="0.3">
      <c r="B30" s="8"/>
      <c r="C30" s="100" t="s">
        <v>0</v>
      </c>
      <c r="D30" s="100"/>
      <c r="E30" s="100"/>
      <c r="F30" s="100" t="s">
        <v>1</v>
      </c>
      <c r="G30" s="100"/>
      <c r="H30" s="96"/>
      <c r="I30" s="96"/>
      <c r="J30" s="96"/>
      <c r="K30" s="101"/>
      <c r="L30" s="77"/>
      <c r="R30" s="49" t="s">
        <v>114</v>
      </c>
      <c r="S30" s="50">
        <f>J27</f>
        <v>12488.720000000001</v>
      </c>
      <c r="T30" s="130">
        <f t="shared" si="5"/>
        <v>12.488720000000001</v>
      </c>
      <c r="U30" s="53"/>
    </row>
    <row r="31" spans="2:22" ht="45" x14ac:dyDescent="0.25">
      <c r="B31" s="41" t="s">
        <v>31</v>
      </c>
      <c r="C31" s="102" t="s">
        <v>58</v>
      </c>
      <c r="D31" s="102" t="s">
        <v>53</v>
      </c>
      <c r="E31" s="102" t="s">
        <v>56</v>
      </c>
      <c r="F31" s="103" t="s">
        <v>57</v>
      </c>
      <c r="G31" s="103" t="s">
        <v>102</v>
      </c>
      <c r="H31" s="103" t="s">
        <v>25</v>
      </c>
      <c r="I31" s="104" t="s">
        <v>32</v>
      </c>
      <c r="J31" s="104" t="s">
        <v>33</v>
      </c>
      <c r="K31" s="105" t="s">
        <v>34</v>
      </c>
      <c r="L31" s="77"/>
      <c r="R31" s="49" t="s">
        <v>115</v>
      </c>
      <c r="S31" s="50">
        <f>I27</f>
        <v>2400</v>
      </c>
      <c r="T31" s="130">
        <f t="shared" si="5"/>
        <v>2.4</v>
      </c>
      <c r="U31" s="53"/>
    </row>
    <row r="32" spans="2:22" x14ac:dyDescent="0.25">
      <c r="B32" s="19" t="s">
        <v>35</v>
      </c>
      <c r="C32" s="78">
        <v>897</v>
      </c>
      <c r="D32" s="78">
        <v>0</v>
      </c>
      <c r="E32" s="78">
        <v>0</v>
      </c>
      <c r="F32" s="78">
        <v>92</v>
      </c>
      <c r="G32" s="78">
        <v>0</v>
      </c>
      <c r="H32" s="78">
        <v>0</v>
      </c>
      <c r="I32" s="78">
        <v>0</v>
      </c>
      <c r="J32" s="78">
        <v>1916</v>
      </c>
      <c r="K32" s="80">
        <f>SUM(C32:J32)</f>
        <v>2905</v>
      </c>
      <c r="L32" s="77"/>
      <c r="R32" s="49" t="s">
        <v>116</v>
      </c>
      <c r="S32" s="50">
        <f>K20-J20</f>
        <v>5941.6935483871493</v>
      </c>
      <c r="T32" s="130">
        <f t="shared" si="5"/>
        <v>5.9416935483871489</v>
      </c>
      <c r="U32"/>
    </row>
    <row r="33" spans="2:39" x14ac:dyDescent="0.25">
      <c r="B33" s="19" t="s">
        <v>36</v>
      </c>
      <c r="C33" s="78">
        <v>2205</v>
      </c>
      <c r="D33" s="78">
        <v>0</v>
      </c>
      <c r="E33" s="78">
        <v>0</v>
      </c>
      <c r="F33" s="78">
        <v>172</v>
      </c>
      <c r="G33" s="106">
        <v>58104</v>
      </c>
      <c r="H33" s="78">
        <v>0</v>
      </c>
      <c r="I33" s="78">
        <v>0</v>
      </c>
      <c r="J33" s="78">
        <v>26978</v>
      </c>
      <c r="K33" s="107">
        <f t="shared" ref="K33:K40" si="6">SUM(C33:J33)</f>
        <v>87459</v>
      </c>
      <c r="L33" s="77"/>
      <c r="R33" s="49" t="s">
        <v>117</v>
      </c>
      <c r="S33" s="50">
        <f>L4</f>
        <v>0</v>
      </c>
      <c r="T33" s="130">
        <f t="shared" si="5"/>
        <v>0</v>
      </c>
      <c r="U33" s="53"/>
    </row>
    <row r="34" spans="2:39" x14ac:dyDescent="0.25">
      <c r="B34" s="19" t="s">
        <v>37</v>
      </c>
      <c r="C34" s="78">
        <v>685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1483.9558332741603</v>
      </c>
      <c r="J34" s="78">
        <v>17786</v>
      </c>
      <c r="K34" s="80">
        <f t="shared" si="6"/>
        <v>19954.955833274162</v>
      </c>
      <c r="L34" s="77"/>
      <c r="R34" s="49" t="s">
        <v>118</v>
      </c>
      <c r="S34" s="50">
        <f>L5</f>
        <v>-1000</v>
      </c>
      <c r="T34" s="130">
        <f t="shared" si="5"/>
        <v>-1</v>
      </c>
      <c r="U34" s="53"/>
    </row>
    <row r="35" spans="2:39" x14ac:dyDescent="0.25">
      <c r="B35" s="19" t="s">
        <v>38</v>
      </c>
      <c r="C35" s="78">
        <v>99322</v>
      </c>
      <c r="D35" s="78">
        <v>0</v>
      </c>
      <c r="E35" s="78">
        <v>0</v>
      </c>
      <c r="F35" s="78">
        <v>8675</v>
      </c>
      <c r="G35" s="78">
        <v>0</v>
      </c>
      <c r="H35" s="78">
        <v>0</v>
      </c>
      <c r="I35" s="78">
        <v>0</v>
      </c>
      <c r="J35" s="78">
        <v>151</v>
      </c>
      <c r="K35" s="80">
        <f t="shared" si="6"/>
        <v>108148</v>
      </c>
      <c r="L35" s="77"/>
      <c r="R35" s="49" t="s">
        <v>119</v>
      </c>
      <c r="S35" s="50">
        <f>L15</f>
        <v>0</v>
      </c>
      <c r="T35" s="130">
        <f t="shared" si="5"/>
        <v>0</v>
      </c>
      <c r="U35" s="53"/>
    </row>
    <row r="36" spans="2:39" ht="15.75" thickBot="1" x14ac:dyDescent="0.3">
      <c r="B36" s="19" t="s">
        <v>39</v>
      </c>
      <c r="C36" s="78">
        <v>549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3216.0441667258397</v>
      </c>
      <c r="J36" s="78">
        <v>38546</v>
      </c>
      <c r="K36" s="80">
        <f t="shared" si="6"/>
        <v>42311.044166725842</v>
      </c>
      <c r="L36" s="77"/>
      <c r="R36" s="54" t="s">
        <v>120</v>
      </c>
      <c r="S36" s="131">
        <f>L16</f>
        <v>0</v>
      </c>
      <c r="T36" s="132">
        <f t="shared" si="5"/>
        <v>0</v>
      </c>
    </row>
    <row r="37" spans="2:39" x14ac:dyDescent="0.25">
      <c r="B37" s="19" t="s">
        <v>40</v>
      </c>
      <c r="C37" s="78">
        <v>742</v>
      </c>
      <c r="D37" s="78">
        <v>0</v>
      </c>
      <c r="E37" s="78">
        <v>0</v>
      </c>
      <c r="F37" s="78">
        <v>0</v>
      </c>
      <c r="G37" s="106">
        <v>31870</v>
      </c>
      <c r="H37" s="78">
        <v>0</v>
      </c>
      <c r="I37" s="78">
        <v>100</v>
      </c>
      <c r="J37" s="78">
        <v>43231</v>
      </c>
      <c r="K37" s="107">
        <f t="shared" si="6"/>
        <v>75943</v>
      </c>
      <c r="L37" s="77"/>
      <c r="R37" s="125" t="s">
        <v>121</v>
      </c>
      <c r="S37" s="133">
        <f>SUM(S30:S36)</f>
        <v>19830.413548387151</v>
      </c>
      <c r="T37" s="134">
        <f>SUM(T30:T36)</f>
        <v>19.830413548387149</v>
      </c>
      <c r="U37"/>
    </row>
    <row r="38" spans="2:39" x14ac:dyDescent="0.25">
      <c r="B38" s="19" t="s">
        <v>41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1400</v>
      </c>
      <c r="J38" s="78">
        <v>3126</v>
      </c>
      <c r="K38" s="80">
        <f t="shared" si="6"/>
        <v>4526</v>
      </c>
      <c r="L38" s="108"/>
      <c r="N38" s="6"/>
      <c r="O38" s="6"/>
      <c r="P38" s="6"/>
      <c r="Q38" s="6"/>
      <c r="R38" s="125" t="s">
        <v>122</v>
      </c>
      <c r="S38"/>
      <c r="T38" s="58">
        <f>T28+T37+T21</f>
        <v>983.80469354838715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2:39" x14ac:dyDescent="0.25">
      <c r="B39" s="19" t="s">
        <v>42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24375</v>
      </c>
      <c r="K39" s="80">
        <f t="shared" si="6"/>
        <v>24375</v>
      </c>
      <c r="L39" s="77"/>
      <c r="R39" s="1" t="s">
        <v>123</v>
      </c>
      <c r="S39"/>
      <c r="T39" s="135">
        <f>T19-T38</f>
        <v>0</v>
      </c>
      <c r="U39" s="136"/>
    </row>
    <row r="40" spans="2:39" x14ac:dyDescent="0.25">
      <c r="B40" s="19" t="s">
        <v>43</v>
      </c>
      <c r="C40" s="72">
        <f>SUM(C32:C39)</f>
        <v>104400</v>
      </c>
      <c r="D40" s="72">
        <f t="shared" ref="D40:J40" si="7">SUM(D32:D39)</f>
        <v>0</v>
      </c>
      <c r="E40" s="72">
        <f t="shared" si="7"/>
        <v>0</v>
      </c>
      <c r="F40" s="72">
        <f t="shared" si="7"/>
        <v>8939</v>
      </c>
      <c r="G40" s="72">
        <f t="shared" si="7"/>
        <v>89974</v>
      </c>
      <c r="H40" s="72">
        <f t="shared" si="7"/>
        <v>0</v>
      </c>
      <c r="I40" s="72">
        <f t="shared" si="7"/>
        <v>6200</v>
      </c>
      <c r="J40" s="72">
        <f t="shared" si="7"/>
        <v>156109</v>
      </c>
      <c r="K40" s="80">
        <f t="shared" si="6"/>
        <v>365622</v>
      </c>
      <c r="L40" s="77"/>
    </row>
    <row r="41" spans="2:39" x14ac:dyDescent="0.25">
      <c r="B41" s="19" t="s">
        <v>44</v>
      </c>
      <c r="C41" s="72">
        <f>SUM(C37:C39)</f>
        <v>742</v>
      </c>
      <c r="D41" s="72">
        <f t="shared" ref="D41:K41" si="8">SUM(D37:D39)</f>
        <v>0</v>
      </c>
      <c r="E41" s="72">
        <f t="shared" si="8"/>
        <v>0</v>
      </c>
      <c r="F41" s="72">
        <f t="shared" si="8"/>
        <v>0</v>
      </c>
      <c r="G41" s="72">
        <f t="shared" si="8"/>
        <v>31870</v>
      </c>
      <c r="H41" s="72">
        <f t="shared" si="8"/>
        <v>0</v>
      </c>
      <c r="I41" s="72">
        <f t="shared" si="8"/>
        <v>1500</v>
      </c>
      <c r="J41" s="72">
        <f t="shared" si="8"/>
        <v>70732</v>
      </c>
      <c r="K41" s="72">
        <f t="shared" si="8"/>
        <v>104844</v>
      </c>
      <c r="L41" s="77"/>
    </row>
    <row r="42" spans="2:39" x14ac:dyDescent="0.25">
      <c r="B42" s="24"/>
      <c r="C42" s="109"/>
      <c r="D42" s="109"/>
      <c r="E42" s="109"/>
      <c r="F42" s="109"/>
      <c r="G42" s="109"/>
      <c r="H42" s="109"/>
      <c r="I42" s="109"/>
      <c r="J42" s="109"/>
      <c r="K42" s="110"/>
      <c r="L42" s="28"/>
    </row>
    <row r="43" spans="2:39" ht="15.75" thickBot="1" x14ac:dyDescent="0.3">
      <c r="B43" s="43"/>
      <c r="C43" s="44"/>
      <c r="D43" s="44"/>
      <c r="E43" s="44"/>
      <c r="F43" s="44"/>
      <c r="G43" s="44"/>
      <c r="H43" s="44"/>
      <c r="I43" s="44"/>
      <c r="J43" s="44"/>
      <c r="K43" s="45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workbookViewId="0">
      <selection activeCell="A9" sqref="A9"/>
    </sheetView>
  </sheetViews>
  <sheetFormatPr defaultRowHeight="15" x14ac:dyDescent="0.25"/>
  <cols>
    <col min="1" max="1" width="27" customWidth="1"/>
    <col min="2" max="2" width="11.5703125" bestFit="1" customWidth="1"/>
    <col min="5" max="5" width="23.42578125" customWidth="1"/>
    <col min="6" max="7" width="11.5703125" bestFit="1" customWidth="1"/>
    <col min="8" max="8" width="12.85546875" customWidth="1"/>
    <col min="9" max="9" width="21.140625" bestFit="1" customWidth="1"/>
    <col min="10" max="10" width="12.5703125" bestFit="1" customWidth="1"/>
    <col min="11" max="11" width="11.42578125" bestFit="1" customWidth="1"/>
    <col min="13" max="13" width="35.7109375" bestFit="1" customWidth="1"/>
    <col min="14" max="14" width="11" bestFit="1" customWidth="1"/>
    <col min="15" max="15" width="10" bestFit="1" customWidth="1"/>
  </cols>
  <sheetData>
    <row r="1" spans="1:17" x14ac:dyDescent="0.25">
      <c r="A1" t="s">
        <v>45</v>
      </c>
      <c r="E1" t="s">
        <v>46</v>
      </c>
      <c r="I1" s="46" t="s">
        <v>47</v>
      </c>
      <c r="J1" s="47" t="s">
        <v>48</v>
      </c>
      <c r="K1" s="48" t="s">
        <v>49</v>
      </c>
      <c r="M1" s="124"/>
      <c r="N1" s="124"/>
      <c r="O1" s="124"/>
      <c r="P1" s="124"/>
    </row>
    <row r="2" spans="1:17" x14ac:dyDescent="0.25">
      <c r="I2" s="49" t="s">
        <v>27</v>
      </c>
      <c r="J2" s="60">
        <f>B11</f>
        <v>8177.9235572151647</v>
      </c>
      <c r="K2" s="62">
        <f>J2/$J$11*100</f>
        <v>48.084667162581759</v>
      </c>
      <c r="M2" s="166"/>
      <c r="N2" s="166"/>
      <c r="O2" s="167"/>
      <c r="P2" s="166"/>
      <c r="Q2" s="166"/>
    </row>
    <row r="3" spans="1:17" x14ac:dyDescent="0.25">
      <c r="I3" s="49" t="s">
        <v>50</v>
      </c>
      <c r="J3" s="60">
        <f>B22</f>
        <v>3060.2753666666663</v>
      </c>
      <c r="K3" s="62">
        <f t="shared" ref="K3:K10" si="0">J3/$J$11*100</f>
        <v>17.993849099040052</v>
      </c>
      <c r="M3" s="166"/>
      <c r="N3" s="168"/>
      <c r="O3" s="130"/>
      <c r="P3" s="166"/>
      <c r="Q3" s="166"/>
    </row>
    <row r="4" spans="1:17" x14ac:dyDescent="0.25">
      <c r="A4" t="s">
        <v>51</v>
      </c>
      <c r="B4" s="57">
        <f>'Dalarna län'!K19/1000</f>
        <v>622.86335999999994</v>
      </c>
      <c r="I4" s="49" t="s">
        <v>97</v>
      </c>
      <c r="J4" s="60">
        <f>B30</f>
        <v>184.31450000000001</v>
      </c>
      <c r="K4" s="62">
        <f t="shared" si="0"/>
        <v>1.0837349265656013</v>
      </c>
      <c r="M4" s="166"/>
      <c r="N4" s="168"/>
      <c r="O4" s="130"/>
      <c r="P4" s="166"/>
      <c r="Q4" s="166"/>
    </row>
    <row r="5" spans="1:17" x14ac:dyDescent="0.25">
      <c r="B5" s="57"/>
      <c r="I5" s="49" t="s">
        <v>53</v>
      </c>
      <c r="J5" s="60">
        <f>B34</f>
        <v>431.07900000000001</v>
      </c>
      <c r="K5" s="62">
        <f t="shared" si="0"/>
        <v>2.5346642201724379</v>
      </c>
      <c r="M5" s="166"/>
      <c r="N5" s="168"/>
      <c r="O5" s="130"/>
      <c r="P5" s="166"/>
      <c r="Q5" s="166"/>
    </row>
    <row r="6" spans="1:17" x14ac:dyDescent="0.25">
      <c r="A6" t="s">
        <v>54</v>
      </c>
      <c r="B6" s="57">
        <f>'Dalarna län'!K18/1000</f>
        <v>2752.952620967742</v>
      </c>
      <c r="I6" s="49" t="s">
        <v>55</v>
      </c>
      <c r="J6" s="60"/>
      <c r="K6" s="62">
        <f t="shared" si="0"/>
        <v>0</v>
      </c>
      <c r="M6" s="166"/>
      <c r="N6" s="168"/>
      <c r="O6" s="130"/>
      <c r="P6" s="166"/>
      <c r="Q6" s="166"/>
    </row>
    <row r="7" spans="1:17" x14ac:dyDescent="0.25">
      <c r="I7" s="49" t="s">
        <v>56</v>
      </c>
      <c r="J7" s="60">
        <f>B40</f>
        <v>937.12302777777779</v>
      </c>
      <c r="K7" s="62">
        <f t="shared" si="0"/>
        <v>5.5101088394656088</v>
      </c>
      <c r="M7" s="166"/>
      <c r="N7" s="168"/>
      <c r="O7" s="130"/>
      <c r="P7" s="166"/>
      <c r="Q7" s="166"/>
    </row>
    <row r="8" spans="1:17" x14ac:dyDescent="0.25">
      <c r="I8" s="49" t="s">
        <v>25</v>
      </c>
      <c r="J8" s="60">
        <f>B45</f>
        <v>20.72447</v>
      </c>
      <c r="K8" s="62">
        <f t="shared" si="0"/>
        <v>0.12185602312113808</v>
      </c>
      <c r="M8" s="166"/>
      <c r="N8" s="168"/>
      <c r="O8" s="130"/>
      <c r="P8" s="166"/>
      <c r="Q8" s="166"/>
    </row>
    <row r="9" spans="1:17" x14ac:dyDescent="0.25">
      <c r="I9" s="49" t="s">
        <v>57</v>
      </c>
      <c r="J9" s="60">
        <f>B54</f>
        <v>282.08800000000002</v>
      </c>
      <c r="K9" s="62">
        <f t="shared" si="0"/>
        <v>1.6586248936737875</v>
      </c>
      <c r="M9" s="166"/>
      <c r="N9" s="168"/>
      <c r="O9" s="130"/>
      <c r="P9" s="166"/>
      <c r="Q9" s="166"/>
    </row>
    <row r="10" spans="1:17" x14ac:dyDescent="0.25">
      <c r="I10" s="49" t="s">
        <v>58</v>
      </c>
      <c r="J10" s="60">
        <f>B63</f>
        <v>3913.8135861111114</v>
      </c>
      <c r="K10" s="62">
        <f t="shared" si="0"/>
        <v>23.012494835379623</v>
      </c>
      <c r="M10" s="166"/>
      <c r="N10" s="168"/>
      <c r="O10" s="130"/>
      <c r="P10" s="166"/>
      <c r="Q10" s="166"/>
    </row>
    <row r="11" spans="1:17" ht="15.75" thickBot="1" x14ac:dyDescent="0.3">
      <c r="A11" t="s">
        <v>59</v>
      </c>
      <c r="B11" s="57">
        <f>SUM(B12:B17)</f>
        <v>8177.9235572151647</v>
      </c>
      <c r="E11" t="s">
        <v>60</v>
      </c>
      <c r="F11" s="57">
        <f>SUM(F12:F20)</f>
        <v>8177.9235572151647</v>
      </c>
      <c r="G11" s="58"/>
      <c r="I11" s="49"/>
      <c r="J11" s="50">
        <f>SUM(J2:J10)</f>
        <v>17007.341507770718</v>
      </c>
      <c r="K11" s="52">
        <f>SUM(K2:K10)</f>
        <v>100</v>
      </c>
      <c r="M11" s="166"/>
      <c r="N11" s="168"/>
      <c r="O11" s="130"/>
      <c r="P11" s="166"/>
      <c r="Q11" s="166"/>
    </row>
    <row r="12" spans="1:17" x14ac:dyDescent="0.25">
      <c r="A12" t="s">
        <v>61</v>
      </c>
      <c r="B12" s="57">
        <f>'Dalarna län'!K15/1000</f>
        <v>131.79587628865977</v>
      </c>
      <c r="E12" s="46" t="s">
        <v>125</v>
      </c>
      <c r="F12" s="151">
        <f>'Dalarna län'!J27/1000</f>
        <v>603.4950346666667</v>
      </c>
      <c r="G12" s="152">
        <f>F12+F13</f>
        <v>634.2356238818312</v>
      </c>
      <c r="I12" s="49"/>
      <c r="J12" s="51"/>
      <c r="K12" s="53"/>
      <c r="M12" s="166"/>
      <c r="N12" s="166"/>
      <c r="O12" s="167"/>
      <c r="P12" s="166"/>
      <c r="Q12" s="166"/>
    </row>
    <row r="13" spans="1:17" ht="15.75" thickBot="1" x14ac:dyDescent="0.3">
      <c r="A13" t="s">
        <v>63</v>
      </c>
      <c r="B13" s="57">
        <f>'Dalarna län'!K16/1000</f>
        <v>158.76973195876292</v>
      </c>
      <c r="E13" s="54" t="s">
        <v>126</v>
      </c>
      <c r="F13" s="61">
        <f>'Dalarna län'!K21/1000</f>
        <v>30.740589215164537</v>
      </c>
      <c r="G13" s="153"/>
      <c r="I13" s="49" t="s">
        <v>62</v>
      </c>
      <c r="J13" s="59">
        <f>G12+G77+F89+J80+G98</f>
        <v>1038.8853710880167</v>
      </c>
      <c r="K13" s="53"/>
      <c r="M13" s="166"/>
      <c r="N13" s="130"/>
      <c r="O13" s="130"/>
      <c r="P13" s="166"/>
      <c r="Q13" s="166"/>
    </row>
    <row r="14" spans="1:17" x14ac:dyDescent="0.25">
      <c r="A14" t="s">
        <v>65</v>
      </c>
      <c r="B14" s="57"/>
      <c r="E14" t="s">
        <v>64</v>
      </c>
      <c r="F14" s="57">
        <f>'Dalarna län'!J32/1000</f>
        <v>78.347999999999999</v>
      </c>
      <c r="I14" s="19" t="s">
        <v>35</v>
      </c>
      <c r="J14" s="60">
        <f>'Dalarna län'!K32/1000</f>
        <v>143.09206666666665</v>
      </c>
      <c r="K14" s="62">
        <f>J14/$J$20*100</f>
        <v>0.88616648796589848</v>
      </c>
      <c r="M14" s="166"/>
      <c r="N14" s="130"/>
      <c r="O14" s="130"/>
      <c r="P14" s="166"/>
      <c r="Q14" s="166"/>
    </row>
    <row r="15" spans="1:17" x14ac:dyDescent="0.25">
      <c r="A15" t="s">
        <v>66</v>
      </c>
      <c r="B15" s="57">
        <f>'Dalarna län'!K18/1000</f>
        <v>2752.952620967742</v>
      </c>
      <c r="E15" t="s">
        <v>36</v>
      </c>
      <c r="F15" s="57">
        <f>'Dalarna län'!J33/1000</f>
        <v>4864.8149999999996</v>
      </c>
      <c r="I15" s="19" t="s">
        <v>36</v>
      </c>
      <c r="J15" s="60">
        <f>'Dalarna län'!K33/1000</f>
        <v>8262.4356388888882</v>
      </c>
      <c r="K15" s="62">
        <f t="shared" ref="K15:K19" si="1">J15/$J$20*100</f>
        <v>51.169109110813324</v>
      </c>
      <c r="M15" s="166"/>
      <c r="N15" s="130"/>
      <c r="O15" s="130"/>
      <c r="P15" s="166"/>
      <c r="Q15" s="166"/>
    </row>
    <row r="16" spans="1:17" x14ac:dyDescent="0.25">
      <c r="A16" t="s">
        <v>68</v>
      </c>
      <c r="B16" s="57">
        <f>'Dalarna län'!K19/1000</f>
        <v>622.86335999999994</v>
      </c>
      <c r="C16" s="58">
        <f>SUM(B12:B16)</f>
        <v>3666.3815892151647</v>
      </c>
      <c r="E16" t="s">
        <v>67</v>
      </c>
      <c r="F16" s="57">
        <f>'Dalarna län'!J34/1000</f>
        <v>368.8</v>
      </c>
      <c r="I16" s="19" t="s">
        <v>37</v>
      </c>
      <c r="J16" s="60">
        <f>'Dalarna län'!K34/1000</f>
        <v>604.60418521191696</v>
      </c>
      <c r="K16" s="62">
        <f t="shared" si="1"/>
        <v>3.7443023914584233</v>
      </c>
      <c r="M16" s="166"/>
      <c r="N16" s="166"/>
      <c r="O16" s="167"/>
      <c r="P16" s="166"/>
      <c r="Q16" s="166"/>
    </row>
    <row r="17" spans="1:17" x14ac:dyDescent="0.25">
      <c r="A17" t="s">
        <v>69</v>
      </c>
      <c r="B17" s="58">
        <f>'Dalarna län'!J28/1000*-1</f>
        <v>4511.5419680000005</v>
      </c>
      <c r="E17" t="s">
        <v>38</v>
      </c>
      <c r="F17" s="57">
        <f>'Dalarna län'!J35/1000</f>
        <v>91.055000000000007</v>
      </c>
      <c r="I17" s="19" t="s">
        <v>38</v>
      </c>
      <c r="J17" s="60">
        <f>'Dalarna län'!K35/1000</f>
        <v>3219.6590000000001</v>
      </c>
      <c r="K17" s="62">
        <f t="shared" si="1"/>
        <v>19.939287865093362</v>
      </c>
      <c r="M17" s="166"/>
      <c r="N17" s="166"/>
      <c r="O17" s="166"/>
      <c r="P17" s="166"/>
      <c r="Q17" s="166"/>
    </row>
    <row r="18" spans="1:17" x14ac:dyDescent="0.25">
      <c r="B18" s="58"/>
      <c r="E18" t="s">
        <v>70</v>
      </c>
      <c r="F18" s="57">
        <f>'Dalarna län'!J36/1000</f>
        <v>776.13493333333338</v>
      </c>
      <c r="I18" s="19" t="s">
        <v>39</v>
      </c>
      <c r="J18" s="60">
        <f>'Dalarna län'!K36/1000</f>
        <v>1079.3527481214164</v>
      </c>
      <c r="K18" s="62">
        <f t="shared" si="1"/>
        <v>6.6844113469073996</v>
      </c>
      <c r="M18" s="169"/>
      <c r="N18" s="168"/>
      <c r="O18" s="130"/>
      <c r="P18" s="166"/>
      <c r="Q18" s="166"/>
    </row>
    <row r="19" spans="1:17" x14ac:dyDescent="0.25">
      <c r="E19" t="s">
        <v>44</v>
      </c>
      <c r="F19" s="57">
        <f>'Dalarna län'!J41/1000</f>
        <v>1364.5350000000001</v>
      </c>
      <c r="G19" s="57">
        <f>SUM(F14:F19)</f>
        <v>7543.6879333333336</v>
      </c>
      <c r="I19" s="19" t="s">
        <v>44</v>
      </c>
      <c r="J19" s="60">
        <f>'Dalarna län'!K41/1000</f>
        <v>2838.1682500000002</v>
      </c>
      <c r="K19" s="62">
        <f t="shared" si="1"/>
        <v>17.576722797761583</v>
      </c>
      <c r="M19" s="169"/>
      <c r="N19" s="168"/>
      <c r="O19" s="130"/>
      <c r="P19" s="166"/>
      <c r="Q19" s="166"/>
    </row>
    <row r="20" spans="1:17" ht="15.75" thickBot="1" x14ac:dyDescent="0.3">
      <c r="E20" t="s">
        <v>71</v>
      </c>
      <c r="I20" s="54" t="s">
        <v>96</v>
      </c>
      <c r="J20" s="61">
        <f>SUM(J14:J19)</f>
        <v>16147.311888888889</v>
      </c>
      <c r="K20" s="55">
        <f>SUM(K14:K19)</f>
        <v>100</v>
      </c>
      <c r="M20" s="169"/>
      <c r="N20" s="168"/>
      <c r="O20" s="130"/>
      <c r="P20" s="166"/>
      <c r="Q20" s="166"/>
    </row>
    <row r="21" spans="1:17" x14ac:dyDescent="0.25">
      <c r="F21" s="57"/>
      <c r="M21" s="169"/>
      <c r="N21" s="168"/>
      <c r="O21" s="130"/>
      <c r="P21" s="166"/>
      <c r="Q21" s="166"/>
    </row>
    <row r="22" spans="1:17" x14ac:dyDescent="0.25">
      <c r="A22" t="s">
        <v>72</v>
      </c>
      <c r="B22" s="57">
        <f>('Dalarna län'!G10+'Dalarna län'!G20+'Dalarna län'!G40)/1000</f>
        <v>3060.2753666666663</v>
      </c>
      <c r="E22" t="s">
        <v>127</v>
      </c>
      <c r="F22" s="57">
        <f>SUM(F23:F29)</f>
        <v>3060.2753666666667</v>
      </c>
      <c r="J22" s="58"/>
      <c r="M22" s="169"/>
      <c r="N22" s="168"/>
      <c r="O22" s="130"/>
      <c r="P22" s="166"/>
      <c r="Q22" s="166"/>
    </row>
    <row r="23" spans="1:17" x14ac:dyDescent="0.25">
      <c r="E23" t="s">
        <v>61</v>
      </c>
      <c r="F23" s="57">
        <f>('Dalarna län'!G4+'Dalarna län'!G15)/1000</f>
        <v>572.34755000000007</v>
      </c>
      <c r="M23" s="169"/>
      <c r="N23" s="168"/>
      <c r="O23" s="130"/>
      <c r="P23" s="166"/>
      <c r="Q23" s="166"/>
    </row>
    <row r="24" spans="1:17" x14ac:dyDescent="0.25">
      <c r="E24" t="s">
        <v>63</v>
      </c>
      <c r="F24" s="57">
        <f>'Dalarna län'!G16/1000</f>
        <v>115.224</v>
      </c>
      <c r="M24" s="169"/>
      <c r="N24" s="168"/>
      <c r="O24" s="130"/>
      <c r="P24" s="166"/>
      <c r="Q24" s="166"/>
    </row>
    <row r="25" spans="1:17" x14ac:dyDescent="0.25">
      <c r="E25" t="s">
        <v>73</v>
      </c>
      <c r="F25" s="57">
        <f>'Dalarna län'!G5/1000</f>
        <v>519.03399999999999</v>
      </c>
      <c r="M25" s="169"/>
      <c r="N25" s="166"/>
      <c r="O25" s="167"/>
      <c r="P25" s="166"/>
      <c r="Q25" s="166"/>
    </row>
    <row r="26" spans="1:17" x14ac:dyDescent="0.25">
      <c r="E26" t="s">
        <v>44</v>
      </c>
      <c r="F26" s="57">
        <f>'Dalarna län'!G41/1000</f>
        <v>673.85266666666666</v>
      </c>
      <c r="M26" s="166"/>
      <c r="N26" s="166"/>
      <c r="O26" s="130"/>
      <c r="P26" s="166"/>
      <c r="Q26" s="166"/>
    </row>
    <row r="27" spans="1:17" x14ac:dyDescent="0.25">
      <c r="E27" t="s">
        <v>36</v>
      </c>
      <c r="F27" s="57">
        <f>'Dalarna län'!G33/1000</f>
        <v>1179.8171499999999</v>
      </c>
      <c r="M27" s="166"/>
      <c r="N27" s="168"/>
      <c r="O27" s="130"/>
      <c r="P27" s="166"/>
      <c r="Q27" s="166"/>
    </row>
    <row r="28" spans="1:17" x14ac:dyDescent="0.25">
      <c r="M28" s="166"/>
      <c r="N28" s="168"/>
      <c r="O28" s="130"/>
      <c r="P28" s="166"/>
      <c r="Q28" s="166"/>
    </row>
    <row r="29" spans="1:17" x14ac:dyDescent="0.25">
      <c r="F29" s="57"/>
      <c r="M29" s="166"/>
      <c r="N29" s="168"/>
      <c r="O29" s="130"/>
      <c r="P29" s="166"/>
      <c r="Q29" s="166"/>
    </row>
    <row r="30" spans="1:17" x14ac:dyDescent="0.25">
      <c r="A30" t="s">
        <v>128</v>
      </c>
      <c r="B30" s="57">
        <f>'Dalarna län'!D40/1000</f>
        <v>184.31450000000001</v>
      </c>
      <c r="E30" t="s">
        <v>129</v>
      </c>
      <c r="F30" s="57">
        <f>SUM(F31:F33)</f>
        <v>184.31450000000001</v>
      </c>
      <c r="M30" s="166"/>
      <c r="N30" s="168"/>
      <c r="O30" s="130"/>
      <c r="P30" s="166"/>
      <c r="Q30" s="166"/>
    </row>
    <row r="31" spans="1:17" x14ac:dyDescent="0.25">
      <c r="E31" t="s">
        <v>36</v>
      </c>
      <c r="F31" s="57">
        <f>'Dalarna län'!D33/1000</f>
        <v>184.31450000000001</v>
      </c>
      <c r="M31" s="166"/>
      <c r="N31" s="168"/>
      <c r="O31" s="130"/>
      <c r="P31" s="166"/>
      <c r="Q31" s="166"/>
    </row>
    <row r="32" spans="1:17" x14ac:dyDescent="0.25">
      <c r="M32" s="166"/>
      <c r="N32" s="168"/>
      <c r="O32" s="130"/>
      <c r="P32" s="166"/>
      <c r="Q32" s="166"/>
    </row>
    <row r="33" spans="1:17" x14ac:dyDescent="0.25">
      <c r="M33" s="166"/>
      <c r="N33" s="168"/>
      <c r="O33" s="130"/>
      <c r="P33" s="166"/>
      <c r="Q33" s="166"/>
    </row>
    <row r="34" spans="1:17" x14ac:dyDescent="0.25">
      <c r="A34" t="s">
        <v>74</v>
      </c>
      <c r="B34" s="57">
        <f>('Dalarna län'!D10+'Dalarna län'!D20)/1000</f>
        <v>431.07900000000001</v>
      </c>
      <c r="E34" t="s">
        <v>75</v>
      </c>
      <c r="F34" s="57">
        <f>SUM(F35:F37)</f>
        <v>431.07900000000001</v>
      </c>
      <c r="M34" s="166"/>
      <c r="N34" s="166"/>
      <c r="O34" s="167"/>
      <c r="P34" s="166"/>
      <c r="Q34" s="166"/>
    </row>
    <row r="35" spans="1:17" x14ac:dyDescent="0.25">
      <c r="E35" t="s">
        <v>61</v>
      </c>
      <c r="F35" s="57">
        <f>('Dalarna län'!D4+'Dalarna län'!D15)/1000</f>
        <v>203.679</v>
      </c>
      <c r="M35" s="166"/>
      <c r="N35" s="166"/>
      <c r="O35" s="167"/>
      <c r="P35" s="166"/>
      <c r="Q35" s="166"/>
    </row>
    <row r="36" spans="1:17" x14ac:dyDescent="0.25">
      <c r="E36" t="s">
        <v>63</v>
      </c>
      <c r="F36" s="57"/>
      <c r="M36" s="42"/>
      <c r="N36" s="166"/>
      <c r="O36" s="167"/>
      <c r="P36" s="166"/>
      <c r="Q36" s="166"/>
    </row>
    <row r="37" spans="1:17" x14ac:dyDescent="0.25">
      <c r="E37" t="s">
        <v>65</v>
      </c>
      <c r="F37" s="57">
        <f>'Dalarna län'!D5/1000</f>
        <v>227.4</v>
      </c>
    </row>
    <row r="40" spans="1:17" x14ac:dyDescent="0.25">
      <c r="A40" t="s">
        <v>76</v>
      </c>
      <c r="B40" s="57">
        <f>('Dalarna län'!E10+'Dalarna län'!E20+'Dalarna län'!E40)/1000</f>
        <v>937.12302777777779</v>
      </c>
      <c r="E40" t="s">
        <v>77</v>
      </c>
      <c r="F40" s="56">
        <f>SUM(F41:F43)</f>
        <v>937.12302777777768</v>
      </c>
    </row>
    <row r="41" spans="1:17" x14ac:dyDescent="0.25">
      <c r="E41" t="s">
        <v>26</v>
      </c>
      <c r="F41" s="57">
        <f>'Dalarna län'!E5/1000</f>
        <v>4.3230000000000004</v>
      </c>
    </row>
    <row r="42" spans="1:17" x14ac:dyDescent="0.25">
      <c r="E42" t="s">
        <v>36</v>
      </c>
      <c r="F42" s="57">
        <f>'Dalarna län'!E33/1000</f>
        <v>932.8000277777777</v>
      </c>
    </row>
    <row r="43" spans="1:17" x14ac:dyDescent="0.25">
      <c r="E43" t="s">
        <v>38</v>
      </c>
      <c r="F43" s="57">
        <f>'Dalarna län'!E35/1000</f>
        <v>0</v>
      </c>
    </row>
    <row r="45" spans="1:17" x14ac:dyDescent="0.25">
      <c r="A45" t="s">
        <v>78</v>
      </c>
      <c r="B45" s="57">
        <f>('Dalarna län'!H10+'Dalarna län'!H20+'Dalarna län'!H40)/1000</f>
        <v>20.72447</v>
      </c>
    </row>
    <row r="46" spans="1:17" x14ac:dyDescent="0.25">
      <c r="E46" t="s">
        <v>79</v>
      </c>
      <c r="F46" s="57">
        <f>SUM(F47:F51)</f>
        <v>20.724469999999997</v>
      </c>
    </row>
    <row r="47" spans="1:17" x14ac:dyDescent="0.25">
      <c r="E47" t="s">
        <v>61</v>
      </c>
      <c r="F47" s="57">
        <f>'Dalarna län'!H4/1000</f>
        <v>1.843</v>
      </c>
    </row>
    <row r="48" spans="1:17" x14ac:dyDescent="0.25">
      <c r="E48" t="s">
        <v>63</v>
      </c>
      <c r="F48" s="57">
        <v>0</v>
      </c>
    </row>
    <row r="49" spans="1:6" x14ac:dyDescent="0.25">
      <c r="E49" t="s">
        <v>65</v>
      </c>
      <c r="F49" s="57">
        <f>'Dalarna län'!H5/1000</f>
        <v>1.9814700000000001</v>
      </c>
    </row>
    <row r="50" spans="1:6" x14ac:dyDescent="0.25">
      <c r="E50" t="s">
        <v>38</v>
      </c>
      <c r="F50" s="57">
        <f>'Dalarna län'!H35/1000</f>
        <v>16.899999999999999</v>
      </c>
    </row>
    <row r="51" spans="1:6" x14ac:dyDescent="0.25">
      <c r="E51" t="s">
        <v>36</v>
      </c>
      <c r="F51" s="57">
        <f>'Dalarna län'!H33/1000</f>
        <v>0</v>
      </c>
    </row>
    <row r="54" spans="1:6" x14ac:dyDescent="0.25">
      <c r="A54" t="s">
        <v>80</v>
      </c>
      <c r="B54" s="57">
        <f>'Dalarna län'!F40/1000</f>
        <v>282.08800000000002</v>
      </c>
      <c r="E54" t="s">
        <v>81</v>
      </c>
      <c r="F54" s="57">
        <f>SUM(F55:F60)</f>
        <v>282.08800000000002</v>
      </c>
    </row>
    <row r="55" spans="1:6" x14ac:dyDescent="0.25">
      <c r="E55" t="s">
        <v>61</v>
      </c>
      <c r="F55" s="57"/>
    </row>
    <row r="56" spans="1:6" x14ac:dyDescent="0.25">
      <c r="E56" t="s">
        <v>63</v>
      </c>
      <c r="F56" s="57">
        <f>'Dalarna län'!L50/1000</f>
        <v>0</v>
      </c>
    </row>
    <row r="57" spans="1:6" x14ac:dyDescent="0.25">
      <c r="E57" t="s">
        <v>65</v>
      </c>
      <c r="F57" s="57">
        <f>'Dalarna län'!M51/1000</f>
        <v>0</v>
      </c>
    </row>
    <row r="58" spans="1:6" x14ac:dyDescent="0.25">
      <c r="E58" t="s">
        <v>38</v>
      </c>
      <c r="F58" s="57">
        <f>'Dalarna län'!F35/1000</f>
        <v>263.98099999999999</v>
      </c>
    </row>
    <row r="59" spans="1:6" x14ac:dyDescent="0.25">
      <c r="E59" t="s">
        <v>82</v>
      </c>
      <c r="F59" s="57">
        <f>'Dalarna län'!F32/1000</f>
        <v>5.6485000000000003</v>
      </c>
    </row>
    <row r="60" spans="1:6" x14ac:dyDescent="0.25">
      <c r="E60" t="s">
        <v>36</v>
      </c>
      <c r="F60" s="57">
        <f>'Dalarna län'!F33/1000</f>
        <v>12.458500000000001</v>
      </c>
    </row>
    <row r="63" spans="1:6" x14ac:dyDescent="0.25">
      <c r="A63" t="s">
        <v>83</v>
      </c>
      <c r="B63" s="57">
        <f>('Dalarna län'!C10+'Dalarna län'!C20+'Dalarna län'!C40)/1000</f>
        <v>3913.8135861111114</v>
      </c>
      <c r="E63" t="s">
        <v>84</v>
      </c>
      <c r="F63" s="57">
        <f>SUM(F64:F72)</f>
        <v>3913.8135861111114</v>
      </c>
    </row>
    <row r="64" spans="1:6" x14ac:dyDescent="0.25">
      <c r="E64" t="s">
        <v>61</v>
      </c>
      <c r="F64" s="57">
        <f>('Dalarna län'!C4+'Dalarna län'!C15)/1000</f>
        <v>4.7041580000000005</v>
      </c>
    </row>
    <row r="65" spans="1:11" x14ac:dyDescent="0.25">
      <c r="E65" t="s">
        <v>63</v>
      </c>
      <c r="F65" s="57">
        <f>'Dalarna län'!C16/1000</f>
        <v>2.4218169999999999</v>
      </c>
    </row>
    <row r="66" spans="1:11" x14ac:dyDescent="0.25">
      <c r="E66" t="s">
        <v>65</v>
      </c>
      <c r="F66" s="57">
        <f>'Dalarna län'!C5/1000</f>
        <v>47.131999999999998</v>
      </c>
    </row>
    <row r="67" spans="1:11" x14ac:dyDescent="0.25">
      <c r="E67" t="s">
        <v>64</v>
      </c>
      <c r="F67" s="57">
        <f>'Dalarna län'!C32/1000</f>
        <v>59.095566666666663</v>
      </c>
    </row>
    <row r="68" spans="1:11" x14ac:dyDescent="0.25">
      <c r="E68" t="s">
        <v>36</v>
      </c>
      <c r="F68" s="57">
        <f>'Dalarna län'!C33/1000</f>
        <v>869.66246111111116</v>
      </c>
    </row>
    <row r="69" spans="1:11" x14ac:dyDescent="0.25">
      <c r="E69" t="s">
        <v>67</v>
      </c>
      <c r="F69" s="57">
        <f>'Dalarna län'!C34/1000</f>
        <v>12.329000000000001</v>
      </c>
    </row>
    <row r="70" spans="1:11" x14ac:dyDescent="0.25">
      <c r="E70" t="s">
        <v>38</v>
      </c>
      <c r="F70" s="57">
        <f>'Dalarna län'!C35/1000</f>
        <v>2847.723</v>
      </c>
    </row>
    <row r="71" spans="1:11" x14ac:dyDescent="0.25">
      <c r="E71" t="s">
        <v>70</v>
      </c>
      <c r="F71" s="57">
        <f>'Dalarna län'!C36/1000</f>
        <v>56.554000000000002</v>
      </c>
    </row>
    <row r="72" spans="1:11" x14ac:dyDescent="0.25">
      <c r="E72" t="s">
        <v>44</v>
      </c>
      <c r="F72" s="57">
        <f>'Dalarna län'!C41/1000</f>
        <v>14.191583333333334</v>
      </c>
      <c r="G72" s="57">
        <f>SUM(F67:F72)</f>
        <v>3859.5556111111109</v>
      </c>
    </row>
    <row r="74" spans="1:11" x14ac:dyDescent="0.25">
      <c r="H74" s="58"/>
    </row>
    <row r="75" spans="1:11" ht="15.75" thickBot="1" x14ac:dyDescent="0.3">
      <c r="A75" t="s">
        <v>130</v>
      </c>
      <c r="B75" s="57">
        <f>SUM(B76:B81)</f>
        <v>799.87046999999984</v>
      </c>
      <c r="E75" t="s">
        <v>131</v>
      </c>
      <c r="F75" s="57">
        <f>SUM(F76:F80)+F82+F87+F88</f>
        <v>1763.6060000000002</v>
      </c>
      <c r="G75" s="57"/>
      <c r="H75" s="58">
        <f>F75+F82+F87</f>
        <v>2655.3380000000002</v>
      </c>
      <c r="I75" t="s">
        <v>26</v>
      </c>
      <c r="J75" s="57">
        <f>SUM(J76:J81)</f>
        <v>1763.606</v>
      </c>
      <c r="K75" s="57">
        <f>SUM(J76:J79)</f>
        <v>1474.296</v>
      </c>
    </row>
    <row r="76" spans="1:11" x14ac:dyDescent="0.25">
      <c r="A76" t="s">
        <v>58</v>
      </c>
      <c r="B76" s="57">
        <f>'Dalarna län'!C5/1000</f>
        <v>47.131999999999998</v>
      </c>
      <c r="E76" s="46" t="s">
        <v>132</v>
      </c>
      <c r="F76" s="151">
        <f>'Dalarna län'!J5/1000</f>
        <v>695.16700000000003</v>
      </c>
      <c r="G76" s="159">
        <f>SUM(F76:F80)</f>
        <v>801.02705933518632</v>
      </c>
      <c r="I76" t="s">
        <v>36</v>
      </c>
      <c r="J76" s="57">
        <f>'Dalarna län'!I33/1000</f>
        <v>218.56800000000001</v>
      </c>
      <c r="K76" s="57"/>
    </row>
    <row r="77" spans="1:11" ht="15.75" thickBot="1" x14ac:dyDescent="0.3">
      <c r="A77" t="s">
        <v>53</v>
      </c>
      <c r="B77" s="57">
        <f>'Dalarna län'!D5/1000</f>
        <v>227.4</v>
      </c>
      <c r="E77" s="54" t="s">
        <v>133</v>
      </c>
      <c r="G77" s="61">
        <f>'Dalarna län'!L5/1000</f>
        <v>104.70346999999997</v>
      </c>
      <c r="H77" s="58"/>
      <c r="I77" t="s">
        <v>67</v>
      </c>
      <c r="J77" s="57">
        <f>'Dalarna län'!I34/1000</f>
        <v>223.47518521191685</v>
      </c>
      <c r="K77" s="57"/>
    </row>
    <row r="78" spans="1:11" x14ac:dyDescent="0.25">
      <c r="A78" t="s">
        <v>94</v>
      </c>
      <c r="B78" s="57">
        <f>'Dalarna län'!E5/1000</f>
        <v>4.3230000000000004</v>
      </c>
      <c r="E78" t="s">
        <v>134</v>
      </c>
      <c r="F78" s="57">
        <f>'Dalarna län'!J6/1000</f>
        <v>4.8360000000000003</v>
      </c>
      <c r="G78" s="57"/>
      <c r="I78" t="s">
        <v>70</v>
      </c>
      <c r="J78" s="57">
        <f>'Dalarna län'!I36/1000</f>
        <v>246.66381478808313</v>
      </c>
      <c r="K78" s="57"/>
    </row>
    <row r="79" spans="1:11" ht="15.75" thickBot="1" x14ac:dyDescent="0.3">
      <c r="A79" t="s">
        <v>135</v>
      </c>
      <c r="B79" s="57">
        <f>'Dalarna län'!F5/1000</f>
        <v>0</v>
      </c>
      <c r="E79" t="s">
        <v>136</v>
      </c>
      <c r="F79" s="57">
        <f>'Dalarna län'!J7/1000</f>
        <v>10.9</v>
      </c>
      <c r="G79" s="57"/>
      <c r="I79" t="s">
        <v>44</v>
      </c>
      <c r="J79" s="57">
        <f>'Dalarna län'!I41/1000</f>
        <v>785.58900000000006</v>
      </c>
      <c r="K79" s="57"/>
    </row>
    <row r="80" spans="1:11" x14ac:dyDescent="0.25">
      <c r="A80" t="s">
        <v>138</v>
      </c>
      <c r="B80" s="57">
        <f>'Dalarna län'!G5/1000</f>
        <v>519.03399999999999</v>
      </c>
      <c r="E80" t="s">
        <v>139</v>
      </c>
      <c r="F80" s="57">
        <f>('Dalarna län'!J9*'Dalarna län'!K5)/1000</f>
        <v>90.124059335186246</v>
      </c>
      <c r="G80" s="57">
        <f>SUM(F78:F80)</f>
        <v>105.86005933518625</v>
      </c>
      <c r="I80" s="46" t="s">
        <v>137</v>
      </c>
      <c r="J80" s="151">
        <f>'Dalarna län'!I27/1000</f>
        <v>289.31</v>
      </c>
      <c r="K80" s="159"/>
    </row>
    <row r="81" spans="1:12" ht="15.75" thickBot="1" x14ac:dyDescent="0.3">
      <c r="A81" t="s">
        <v>93</v>
      </c>
      <c r="B81" s="158">
        <f>'Dalarna län'!H5/1000</f>
        <v>1.9814700000000001</v>
      </c>
      <c r="G81" s="57"/>
      <c r="I81" s="54"/>
      <c r="K81" s="160">
        <f>SUM(J80:J81)</f>
        <v>289.31</v>
      </c>
      <c r="L81" s="58">
        <f>B82-B75</f>
        <v>0</v>
      </c>
    </row>
    <row r="82" spans="1:12" x14ac:dyDescent="0.25">
      <c r="A82" t="s">
        <v>140</v>
      </c>
      <c r="B82" s="57">
        <f>'Dalarna län'!I5/1000</f>
        <v>799.87046999999995</v>
      </c>
      <c r="E82" t="s">
        <v>85</v>
      </c>
      <c r="F82" s="57">
        <f>'Dalarna län'!J8/1000</f>
        <v>345.25799999999998</v>
      </c>
      <c r="J82" s="57"/>
      <c r="K82" s="57"/>
    </row>
    <row r="84" spans="1:12" x14ac:dyDescent="0.25">
      <c r="F84" s="57"/>
      <c r="I84" s="51"/>
      <c r="J84" s="60"/>
    </row>
    <row r="85" spans="1:12" x14ac:dyDescent="0.25">
      <c r="A85" t="s">
        <v>141</v>
      </c>
      <c r="B85" s="58">
        <f>SUM(B86:B92)</f>
        <v>782.57370800000001</v>
      </c>
      <c r="E85" t="s">
        <v>141</v>
      </c>
      <c r="F85" s="58"/>
      <c r="G85" s="58">
        <f>F85-B85</f>
        <v>-782.57370800000001</v>
      </c>
      <c r="I85" s="51"/>
      <c r="J85" s="60"/>
    </row>
    <row r="86" spans="1:12" x14ac:dyDescent="0.25">
      <c r="A86" t="s">
        <v>58</v>
      </c>
      <c r="B86" s="57">
        <f>('Dalarna län'!C4+'Dalarna län'!C15)/1000</f>
        <v>4.7041580000000005</v>
      </c>
      <c r="E86" t="s">
        <v>27</v>
      </c>
      <c r="F86" s="57">
        <f>'Dalarna län'!J15/1000</f>
        <v>127.842</v>
      </c>
      <c r="I86" s="51"/>
      <c r="J86" s="60"/>
    </row>
    <row r="87" spans="1:12" x14ac:dyDescent="0.25">
      <c r="A87" t="s">
        <v>52</v>
      </c>
      <c r="B87" s="57"/>
      <c r="E87" t="s">
        <v>142</v>
      </c>
      <c r="F87" s="56">
        <f>'Dalarna län'!J4/1000</f>
        <v>546.47400000000005</v>
      </c>
      <c r="G87" s="58">
        <f>F87+F88</f>
        <v>617.32094066481375</v>
      </c>
      <c r="I87" s="51"/>
      <c r="J87" s="59"/>
    </row>
    <row r="88" spans="1:12" ht="15.75" thickBot="1" x14ac:dyDescent="0.3">
      <c r="A88" t="s">
        <v>53</v>
      </c>
      <c r="B88" s="57">
        <f>('Dalarna län'!D4+'Dalarna län'!D15)/1000</f>
        <v>203.679</v>
      </c>
      <c r="E88" t="s">
        <v>143</v>
      </c>
      <c r="F88" s="58">
        <f>('Dalarna län'!J9*'Dalarna län'!K4)/1000</f>
        <v>70.846940664813744</v>
      </c>
    </row>
    <row r="89" spans="1:12" x14ac:dyDescent="0.25">
      <c r="A89" t="s">
        <v>144</v>
      </c>
      <c r="B89" s="57"/>
      <c r="E89" s="46" t="s">
        <v>133</v>
      </c>
      <c r="F89" s="161">
        <f>SUM(G89:G90)</f>
        <v>1.1100932886597294</v>
      </c>
      <c r="G89" s="57">
        <f>'Dalarna län'!L4/1000</f>
        <v>-2.8437830000000539</v>
      </c>
      <c r="H89" s="48" t="s">
        <v>145</v>
      </c>
    </row>
    <row r="90" spans="1:12" x14ac:dyDescent="0.25">
      <c r="A90" t="s">
        <v>55</v>
      </c>
      <c r="B90" s="57"/>
      <c r="E90" s="49"/>
      <c r="F90" s="51"/>
      <c r="G90" s="57">
        <f>'Dalarna län'!L15/1000</f>
        <v>3.9538762886597834</v>
      </c>
      <c r="H90" s="53" t="s">
        <v>146</v>
      </c>
    </row>
    <row r="91" spans="1:12" x14ac:dyDescent="0.25">
      <c r="A91" t="s">
        <v>50</v>
      </c>
      <c r="B91" s="57">
        <f>('Dalarna län'!G4+'Dalarna län'!G15)/1000</f>
        <v>572.34755000000007</v>
      </c>
      <c r="E91" s="49"/>
      <c r="F91" s="51"/>
      <c r="G91" s="60"/>
      <c r="H91" s="53"/>
    </row>
    <row r="92" spans="1:12" ht="15.75" thickBot="1" x14ac:dyDescent="0.3">
      <c r="A92" t="s">
        <v>93</v>
      </c>
      <c r="B92" s="57">
        <f>('Dalarna län'!H4+'Dalarna län'!H15)/1000</f>
        <v>1.843</v>
      </c>
      <c r="E92" s="54"/>
      <c r="F92" s="162"/>
      <c r="G92" s="61">
        <f>SUM(G89:G91)</f>
        <v>1.1100932886597294</v>
      </c>
      <c r="H92" s="55"/>
    </row>
    <row r="93" spans="1:12" x14ac:dyDescent="0.25">
      <c r="B93" s="57">
        <f>('Dalarna län'!I4+'Dalarna län'!I15)/1000</f>
        <v>782.5737079999999</v>
      </c>
    </row>
    <row r="95" spans="1:12" x14ac:dyDescent="0.25">
      <c r="A95" t="s">
        <v>147</v>
      </c>
      <c r="B95" s="57"/>
      <c r="E95" t="s">
        <v>147</v>
      </c>
    </row>
    <row r="96" spans="1:12" x14ac:dyDescent="0.25">
      <c r="A96" t="s">
        <v>58</v>
      </c>
      <c r="B96" s="57">
        <f>'Dalarna län'!C16/1000</f>
        <v>2.4218169999999999</v>
      </c>
      <c r="E96" t="s">
        <v>27</v>
      </c>
      <c r="F96" s="57">
        <f>'Dalarna län'!J16/1000</f>
        <v>154.00664</v>
      </c>
      <c r="G96" s="57"/>
    </row>
    <row r="97" spans="1:7" x14ac:dyDescent="0.25">
      <c r="A97" t="s">
        <v>138</v>
      </c>
      <c r="B97" s="57">
        <f>'Dalarna län'!G16/1000</f>
        <v>115.224</v>
      </c>
      <c r="E97" t="s">
        <v>148</v>
      </c>
      <c r="F97" s="57">
        <f>('Dalarna län'!K16-'Dalarna län'!J16)/1000</f>
        <v>4.763091958762903</v>
      </c>
      <c r="G97" s="57"/>
    </row>
    <row r="98" spans="1:7" x14ac:dyDescent="0.25">
      <c r="B98" s="57"/>
      <c r="E98" t="s">
        <v>149</v>
      </c>
      <c r="F98" s="57">
        <f>'Dalarna län'!L16/1000</f>
        <v>4.763091958762903</v>
      </c>
      <c r="G98" s="57">
        <f>SUM(F97:F98)</f>
        <v>9.5261839175258061</v>
      </c>
    </row>
    <row r="100" spans="1:7" x14ac:dyDescent="0.25">
      <c r="B100" s="58"/>
    </row>
    <row r="107" spans="1:7" x14ac:dyDescent="0.25">
      <c r="E107" t="s">
        <v>150</v>
      </c>
      <c r="F107" s="57" t="e">
        <f>'[1]Västernorrlands län'!#REF!*'[1]Västernorrlands län'!#REF!/1000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7"/>
  <sheetViews>
    <sheetView zoomScale="60" zoomScaleNormal="60" workbookViewId="0">
      <selection activeCell="N41" sqref="N41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4.85546875" style="1" bestFit="1" customWidth="1"/>
    <col min="4" max="4" width="13.5703125" style="1" bestFit="1" customWidth="1"/>
    <col min="5" max="5" width="14.85546875" style="1" bestFit="1" customWidth="1"/>
    <col min="6" max="6" width="13.5703125" style="1" bestFit="1" customWidth="1"/>
    <col min="7" max="7" width="14.85546875" style="1" bestFit="1" customWidth="1"/>
    <col min="8" max="8" width="9" style="1" customWidth="1"/>
    <col min="9" max="9" width="27.140625" style="1" customWidth="1"/>
    <col min="10" max="10" width="17.7109375" style="1" customWidth="1"/>
    <col min="11" max="11" width="20.42578125" style="1" customWidth="1"/>
    <col min="12" max="12" width="21.85546875" style="1" customWidth="1"/>
    <col min="13" max="13" width="25.5703125" style="1" customWidth="1"/>
    <col min="14" max="14" width="9.140625" style="1"/>
    <col min="15" max="15" width="10.7109375" style="1" bestFit="1" customWidth="1"/>
    <col min="16" max="17" width="9.140625" style="1"/>
    <col min="18" max="18" width="39" style="1" bestFit="1" customWidth="1"/>
    <col min="19" max="19" width="14.7109375" style="1" bestFit="1" customWidth="1"/>
    <col min="20" max="20" width="10.5703125" style="1" bestFit="1" customWidth="1"/>
    <col min="21" max="16384" width="9.140625" style="1"/>
  </cols>
  <sheetData>
    <row r="1" spans="2:22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4"/>
      <c r="I1" s="5" t="s">
        <v>2</v>
      </c>
      <c r="J1" s="5" t="s">
        <v>3</v>
      </c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1"/>
    </row>
    <row r="2" spans="2:22" s="7" customFormat="1" ht="60" x14ac:dyDescent="0.25">
      <c r="B2" s="8"/>
      <c r="C2" s="9" t="s">
        <v>58</v>
      </c>
      <c r="D2" s="9" t="s">
        <v>53</v>
      </c>
      <c r="E2" s="9" t="s">
        <v>56</v>
      </c>
      <c r="F2" s="10" t="s">
        <v>57</v>
      </c>
      <c r="G2" s="10" t="s">
        <v>102</v>
      </c>
      <c r="H2" s="10" t="s">
        <v>25</v>
      </c>
      <c r="I2" s="11" t="s">
        <v>4</v>
      </c>
      <c r="J2" s="11" t="s">
        <v>5</v>
      </c>
      <c r="L2" s="12" t="s">
        <v>6</v>
      </c>
      <c r="M2" s="13"/>
      <c r="N2" s="6"/>
      <c r="O2" s="6"/>
      <c r="P2" s="6"/>
      <c r="Q2" s="6"/>
      <c r="R2" s="6"/>
      <c r="S2" s="6"/>
      <c r="T2" s="6"/>
      <c r="U2" s="6"/>
      <c r="V2" s="1"/>
    </row>
    <row r="3" spans="2:22" s="7" customFormat="1" x14ac:dyDescent="0.25">
      <c r="B3" s="14" t="s">
        <v>7</v>
      </c>
      <c r="C3" s="15"/>
      <c r="D3" s="15"/>
      <c r="E3" s="15"/>
      <c r="F3" s="15"/>
      <c r="G3" s="15"/>
      <c r="H3" s="15"/>
      <c r="I3" s="16"/>
      <c r="J3" s="16"/>
      <c r="K3" s="17"/>
      <c r="L3" s="18"/>
      <c r="M3" s="1"/>
      <c r="N3" s="6"/>
      <c r="O3" s="6"/>
      <c r="P3" s="6"/>
      <c r="Q3" s="6"/>
      <c r="T3" s="7" t="s">
        <v>48</v>
      </c>
      <c r="V3" s="1"/>
    </row>
    <row r="4" spans="2:22" s="7" customFormat="1" x14ac:dyDescent="0.25">
      <c r="B4" s="19" t="s">
        <v>8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f>SUM(C4:H4)</f>
        <v>0</v>
      </c>
      <c r="J4" s="78">
        <v>0</v>
      </c>
      <c r="K4" s="79"/>
      <c r="L4" s="80">
        <f>I4-J4</f>
        <v>0</v>
      </c>
      <c r="M4" s="1"/>
      <c r="N4" s="6"/>
      <c r="O4" s="6"/>
      <c r="P4" s="6"/>
      <c r="Q4" s="6"/>
      <c r="R4" s="49" t="s">
        <v>103</v>
      </c>
      <c r="S4" s="21">
        <f>K20</f>
        <v>223733.63609910209</v>
      </c>
      <c r="T4" s="123">
        <f>S4/1000</f>
        <v>223.73363609910209</v>
      </c>
      <c r="U4" s="124"/>
      <c r="V4" s="1"/>
    </row>
    <row r="5" spans="2:22" s="7" customFormat="1" x14ac:dyDescent="0.25">
      <c r="B5" s="19" t="s">
        <v>9</v>
      </c>
      <c r="C5" s="77">
        <v>17158</v>
      </c>
      <c r="D5" s="77">
        <v>197884</v>
      </c>
      <c r="E5" s="77">
        <v>0</v>
      </c>
      <c r="F5" s="77">
        <v>0</v>
      </c>
      <c r="G5" s="77">
        <v>35326</v>
      </c>
      <c r="H5" s="77">
        <v>0</v>
      </c>
      <c r="I5" s="77">
        <f t="shared" ref="I5:I10" si="0">SUM(C5:H5)</f>
        <v>250368</v>
      </c>
      <c r="J5" s="78">
        <v>199690</v>
      </c>
      <c r="K5" s="79"/>
      <c r="L5" s="80">
        <f>I5-J5</f>
        <v>50678</v>
      </c>
      <c r="M5" s="1"/>
      <c r="N5" s="6"/>
      <c r="O5" s="6"/>
      <c r="P5" s="6"/>
      <c r="Q5" s="6"/>
      <c r="R5" s="7" t="s">
        <v>104</v>
      </c>
      <c r="S5" s="21">
        <f>IF(J28&gt;0,0,J28)*-1</f>
        <v>1028045.72</v>
      </c>
      <c r="T5" s="123">
        <f>S5/1000</f>
        <v>1028.0457200000001</v>
      </c>
      <c r="V5" s="1"/>
    </row>
    <row r="6" spans="2:22" s="7" customFormat="1" x14ac:dyDescent="0.25">
      <c r="B6" s="19" t="s">
        <v>10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f t="shared" si="0"/>
        <v>0</v>
      </c>
      <c r="J6" s="78">
        <v>0</v>
      </c>
      <c r="K6" s="79"/>
      <c r="L6" s="80"/>
      <c r="M6" s="1"/>
      <c r="N6" s="6"/>
      <c r="O6" s="6"/>
      <c r="P6" s="6"/>
      <c r="Q6" s="6"/>
      <c r="R6" s="49" t="s">
        <v>50</v>
      </c>
      <c r="S6" s="123">
        <f>G10+G20+G40</f>
        <v>606318</v>
      </c>
      <c r="T6" s="123">
        <f>S6/1000</f>
        <v>606.31799999999998</v>
      </c>
      <c r="U6" s="124"/>
      <c r="V6" s="1"/>
    </row>
    <row r="7" spans="2:22" s="7" customFormat="1" x14ac:dyDescent="0.25">
      <c r="B7" s="19" t="s">
        <v>11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f t="shared" si="0"/>
        <v>0</v>
      </c>
      <c r="J7" s="78">
        <v>0</v>
      </c>
      <c r="K7" s="79"/>
      <c r="L7" s="80"/>
      <c r="M7" s="1"/>
      <c r="N7" s="6"/>
      <c r="O7" s="6"/>
      <c r="P7" s="6"/>
      <c r="Q7" s="6"/>
      <c r="R7" s="49" t="s">
        <v>53</v>
      </c>
      <c r="S7" s="123">
        <f>D10+D20</f>
        <v>197884</v>
      </c>
      <c r="T7" s="123">
        <f t="shared" ref="T7:T14" si="1">S7/1000</f>
        <v>197.88399999999999</v>
      </c>
      <c r="U7" s="124"/>
      <c r="V7" s="1"/>
    </row>
    <row r="8" spans="2:22" s="7" customFormat="1" x14ac:dyDescent="0.25">
      <c r="B8" s="19" t="s">
        <v>12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f t="shared" si="0"/>
        <v>0</v>
      </c>
      <c r="J8" s="78">
        <v>42656</v>
      </c>
      <c r="K8" s="79"/>
      <c r="L8" s="80"/>
      <c r="M8" s="1"/>
      <c r="N8" s="6"/>
      <c r="O8" s="6"/>
      <c r="P8" s="6"/>
      <c r="Q8" s="6"/>
      <c r="R8" s="49" t="s">
        <v>97</v>
      </c>
      <c r="S8" s="123"/>
      <c r="T8" s="123">
        <f t="shared" si="1"/>
        <v>0</v>
      </c>
      <c r="U8" s="124"/>
      <c r="V8" s="1"/>
    </row>
    <row r="9" spans="2:22" s="7" customFormat="1" x14ac:dyDescent="0.25">
      <c r="B9" s="19" t="s">
        <v>13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f t="shared" si="0"/>
        <v>0</v>
      </c>
      <c r="J9" s="78">
        <v>16893</v>
      </c>
      <c r="K9" s="79"/>
      <c r="L9" s="80"/>
      <c r="M9" s="1"/>
      <c r="N9" s="6"/>
      <c r="O9" s="6"/>
      <c r="P9" s="6"/>
      <c r="Q9" s="6"/>
      <c r="R9" s="125" t="s">
        <v>105</v>
      </c>
      <c r="S9" s="123"/>
      <c r="T9" s="123">
        <f t="shared" si="1"/>
        <v>0</v>
      </c>
      <c r="U9" s="124"/>
      <c r="V9" s="1"/>
    </row>
    <row r="10" spans="2:22" s="7" customFormat="1" x14ac:dyDescent="0.25">
      <c r="B10" s="19" t="s">
        <v>14</v>
      </c>
      <c r="C10" s="78">
        <f t="shared" ref="C10:J10" si="2">SUM(C4:C9)</f>
        <v>17158</v>
      </c>
      <c r="D10" s="78">
        <f t="shared" si="2"/>
        <v>197884</v>
      </c>
      <c r="E10" s="78">
        <f t="shared" si="2"/>
        <v>0</v>
      </c>
      <c r="F10" s="78">
        <f t="shared" si="2"/>
        <v>0</v>
      </c>
      <c r="G10" s="78">
        <f t="shared" si="2"/>
        <v>35326</v>
      </c>
      <c r="H10" s="78">
        <f t="shared" si="2"/>
        <v>0</v>
      </c>
      <c r="I10" s="77">
        <f t="shared" si="0"/>
        <v>250368</v>
      </c>
      <c r="J10" s="78">
        <f t="shared" si="2"/>
        <v>259239</v>
      </c>
      <c r="K10" s="79"/>
      <c r="L10" s="80">
        <f>SUM(L4:L9)</f>
        <v>50678</v>
      </c>
      <c r="M10" s="1"/>
      <c r="N10" s="6"/>
      <c r="O10" s="6"/>
      <c r="P10" s="6"/>
      <c r="Q10" s="6"/>
      <c r="R10" s="49" t="s">
        <v>55</v>
      </c>
      <c r="S10" s="123"/>
      <c r="T10" s="123">
        <f t="shared" si="1"/>
        <v>0</v>
      </c>
      <c r="U10" s="124"/>
      <c r="V10" s="1"/>
    </row>
    <row r="11" spans="2:22" s="7" customFormat="1" x14ac:dyDescent="0.25">
      <c r="B11" s="22"/>
      <c r="C11" s="83"/>
      <c r="D11" s="83"/>
      <c r="E11" s="83"/>
      <c r="F11" s="83"/>
      <c r="G11" s="83"/>
      <c r="H11" s="83"/>
      <c r="I11" s="83"/>
      <c r="J11" s="83"/>
      <c r="K11" s="84"/>
      <c r="L11" s="85"/>
      <c r="M11" s="1"/>
      <c r="N11" s="6"/>
      <c r="O11" s="6"/>
      <c r="P11" s="6"/>
      <c r="Q11" s="6"/>
      <c r="R11" s="49" t="s">
        <v>56</v>
      </c>
      <c r="S11" s="123">
        <f>E10+E20+E40</f>
        <v>240593</v>
      </c>
      <c r="T11" s="123">
        <f t="shared" si="1"/>
        <v>240.59299999999999</v>
      </c>
      <c r="U11" s="124"/>
      <c r="V11" s="1"/>
    </row>
    <row r="12" spans="2:22" s="7" customFormat="1" x14ac:dyDescent="0.25">
      <c r="B12" s="23" t="s">
        <v>15</v>
      </c>
      <c r="C12" s="83"/>
      <c r="D12" s="83"/>
      <c r="E12" s="83"/>
      <c r="F12" s="83"/>
      <c r="G12" s="83"/>
      <c r="H12" s="83"/>
      <c r="I12" s="79"/>
      <c r="J12" s="79">
        <v>0</v>
      </c>
      <c r="K12" s="84"/>
      <c r="L12" s="85"/>
      <c r="M12" s="1"/>
      <c r="N12" s="6"/>
      <c r="O12" s="6"/>
      <c r="P12" s="6"/>
      <c r="Q12" s="6"/>
      <c r="R12" s="49" t="s">
        <v>25</v>
      </c>
      <c r="S12" s="123">
        <f>H10+H20+H40</f>
        <v>0</v>
      </c>
      <c r="T12" s="123">
        <f t="shared" si="1"/>
        <v>0</v>
      </c>
      <c r="U12" s="124"/>
      <c r="V12" s="1"/>
    </row>
    <row r="13" spans="2:22" x14ac:dyDescent="0.25">
      <c r="B13" s="24"/>
      <c r="C13" s="78"/>
      <c r="D13" s="78"/>
      <c r="E13" s="78"/>
      <c r="F13" s="78"/>
      <c r="G13" s="78"/>
      <c r="H13" s="78"/>
      <c r="I13" s="78"/>
      <c r="J13" s="78"/>
      <c r="K13" s="78"/>
      <c r="L13" s="86"/>
      <c r="M13" s="6"/>
      <c r="R13" s="49" t="s">
        <v>57</v>
      </c>
      <c r="S13" s="123">
        <f>F10+F20+F40</f>
        <v>22404</v>
      </c>
      <c r="T13" s="123">
        <f t="shared" si="1"/>
        <v>22.404</v>
      </c>
      <c r="U13" s="124"/>
    </row>
    <row r="14" spans="2:22" ht="18.75" x14ac:dyDescent="0.3">
      <c r="B14" s="26" t="s">
        <v>16</v>
      </c>
      <c r="C14" s="87"/>
      <c r="D14" s="87"/>
      <c r="E14" s="87"/>
      <c r="F14" s="87"/>
      <c r="G14" s="87"/>
      <c r="H14" s="87"/>
      <c r="I14" s="87"/>
      <c r="J14" s="88" t="s">
        <v>17</v>
      </c>
      <c r="K14" s="89" t="s">
        <v>18</v>
      </c>
      <c r="L14" s="90"/>
      <c r="M14" s="27" t="s">
        <v>19</v>
      </c>
      <c r="N14" s="28"/>
      <c r="R14" s="49" t="s">
        <v>58</v>
      </c>
      <c r="S14" s="123">
        <f>C10+C20+C40</f>
        <v>374573</v>
      </c>
      <c r="T14" s="123">
        <f t="shared" si="1"/>
        <v>374.57299999999998</v>
      </c>
      <c r="U14" s="124"/>
    </row>
    <row r="15" spans="2:22" x14ac:dyDescent="0.25">
      <c r="B15" s="19" t="s">
        <v>20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f>SUM(C15:H15)</f>
        <v>0</v>
      </c>
      <c r="J15" s="78">
        <v>0</v>
      </c>
      <c r="K15" s="91">
        <f>J15/(1-M15)</f>
        <v>0</v>
      </c>
      <c r="L15" s="92">
        <f>I15-K15</f>
        <v>0</v>
      </c>
      <c r="M15" s="29">
        <v>0.03</v>
      </c>
      <c r="O15" s="30"/>
      <c r="R15" s="125" t="s">
        <v>106</v>
      </c>
      <c r="S15" s="123">
        <f>SUM(S4:S14)</f>
        <v>2693551.3560991022</v>
      </c>
      <c r="T15" s="123">
        <f>SUM(T4:T14)</f>
        <v>2693.5513560991017</v>
      </c>
      <c r="U15" s="124"/>
    </row>
    <row r="16" spans="2:22" x14ac:dyDescent="0.25">
      <c r="B16" s="19" t="s">
        <v>21</v>
      </c>
      <c r="C16" s="78">
        <v>1854</v>
      </c>
      <c r="D16" s="78">
        <v>0</v>
      </c>
      <c r="E16" s="78">
        <v>0</v>
      </c>
      <c r="F16" s="78">
        <v>0</v>
      </c>
      <c r="G16" s="78">
        <v>74525</v>
      </c>
      <c r="H16" s="78">
        <v>0</v>
      </c>
      <c r="I16" s="78">
        <f t="shared" ref="I16:I20" si="3">SUM(C16:H16)</f>
        <v>76379</v>
      </c>
      <c r="J16" s="78">
        <v>68507</v>
      </c>
      <c r="K16" s="91">
        <f>J16/(1-M16)</f>
        <v>70625.773195876289</v>
      </c>
      <c r="L16" s="92">
        <f>I16-K16</f>
        <v>5753.2268041237112</v>
      </c>
      <c r="M16" s="29">
        <v>0.03</v>
      </c>
      <c r="O16" s="30"/>
      <c r="R16" t="s">
        <v>107</v>
      </c>
      <c r="S16" s="57">
        <f>J8</f>
        <v>42656</v>
      </c>
      <c r="T16" s="57">
        <f>S16/1000</f>
        <v>42.655999999999999</v>
      </c>
      <c r="U16" s="124"/>
    </row>
    <row r="17" spans="2:22" x14ac:dyDescent="0.25">
      <c r="B17" s="19" t="s">
        <v>22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f t="shared" si="3"/>
        <v>0</v>
      </c>
      <c r="J17" s="78">
        <v>0</v>
      </c>
      <c r="K17" s="91">
        <f>J17/(1-M17)</f>
        <v>0</v>
      </c>
      <c r="L17" s="92">
        <f>I17-K17</f>
        <v>0</v>
      </c>
      <c r="M17" s="29">
        <v>0.03</v>
      </c>
      <c r="O17" s="30"/>
      <c r="R17" t="s">
        <v>108</v>
      </c>
      <c r="S17" s="57">
        <f>J9</f>
        <v>16893</v>
      </c>
      <c r="T17" s="57">
        <f t="shared" ref="T17:T18" si="4">S17/1000</f>
        <v>16.893000000000001</v>
      </c>
      <c r="U17" s="124"/>
      <c r="V17" s="6"/>
    </row>
    <row r="18" spans="2:22" x14ac:dyDescent="0.25">
      <c r="B18" s="19" t="s">
        <v>23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f t="shared" si="3"/>
        <v>0</v>
      </c>
      <c r="J18" s="78">
        <v>151883</v>
      </c>
      <c r="K18" s="91">
        <f>J18/(1-M18)</f>
        <v>153107.86290322582</v>
      </c>
      <c r="L18" s="92"/>
      <c r="M18" s="31">
        <v>8.0000000000000002E-3</v>
      </c>
      <c r="O18" s="30"/>
      <c r="R18" t="s">
        <v>109</v>
      </c>
      <c r="S18" s="57">
        <f>J6+J7</f>
        <v>0</v>
      </c>
      <c r="T18" s="57">
        <f t="shared" si="4"/>
        <v>0</v>
      </c>
      <c r="U18"/>
    </row>
    <row r="19" spans="2:22" x14ac:dyDescent="0.25">
      <c r="B19" s="19" t="s">
        <v>24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f t="shared" si="3"/>
        <v>0</v>
      </c>
      <c r="J19" s="78">
        <v>0</v>
      </c>
      <c r="K19" s="91">
        <f>J19/(1-M19)</f>
        <v>0</v>
      </c>
      <c r="L19" s="92">
        <f t="shared" ref="L19" si="5">I19-K19</f>
        <v>0</v>
      </c>
      <c r="M19" s="1">
        <v>0</v>
      </c>
      <c r="O19" s="30"/>
      <c r="R19" t="s">
        <v>110</v>
      </c>
      <c r="S19" s="57">
        <f>SUM(S15:S18)</f>
        <v>2753100.3560991022</v>
      </c>
      <c r="T19" s="57">
        <f>SUM(T15:T18)</f>
        <v>2753.1003560991016</v>
      </c>
      <c r="U19"/>
    </row>
    <row r="20" spans="2:22" x14ac:dyDescent="0.25">
      <c r="B20" s="19" t="s">
        <v>14</v>
      </c>
      <c r="C20" s="78">
        <f t="shared" ref="C20:H20" si="6">SUM(C15:C19)</f>
        <v>1854</v>
      </c>
      <c r="D20" s="78">
        <f t="shared" si="6"/>
        <v>0</v>
      </c>
      <c r="E20" s="78">
        <f t="shared" si="6"/>
        <v>0</v>
      </c>
      <c r="F20" s="78">
        <f t="shared" si="6"/>
        <v>0</v>
      </c>
      <c r="G20" s="78">
        <f t="shared" si="6"/>
        <v>74525</v>
      </c>
      <c r="H20" s="78">
        <f t="shared" si="6"/>
        <v>0</v>
      </c>
      <c r="I20" s="78">
        <f t="shared" si="3"/>
        <v>76379</v>
      </c>
      <c r="J20" s="78">
        <f>SUM(J15:J19)</f>
        <v>220390</v>
      </c>
      <c r="K20" s="93">
        <f>SUM(K15:K19)</f>
        <v>223733.63609910209</v>
      </c>
      <c r="L20" s="93">
        <f>SUM(L15:L19)</f>
        <v>5753.2268041237112</v>
      </c>
      <c r="M20" s="32"/>
      <c r="N20" s="33"/>
      <c r="O20" s="30"/>
      <c r="R20"/>
      <c r="S20"/>
      <c r="T20"/>
      <c r="U20"/>
    </row>
    <row r="21" spans="2:22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7">
        <f>K20-J20</f>
        <v>3343.636099102092</v>
      </c>
      <c r="L21" s="86"/>
      <c r="M21" s="30"/>
      <c r="R21" s="19" t="s">
        <v>111</v>
      </c>
      <c r="S21" s="21">
        <f>IF(J28&lt;0,0,J28)</f>
        <v>0</v>
      </c>
      <c r="T21" s="123">
        <f t="shared" ref="T21:T27" si="7">S21/1000</f>
        <v>0</v>
      </c>
      <c r="U21" s="124"/>
    </row>
    <row r="22" spans="2:22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86"/>
      <c r="R22" s="19" t="s">
        <v>35</v>
      </c>
      <c r="S22" s="126">
        <f>K32</f>
        <v>15074</v>
      </c>
      <c r="T22" s="123">
        <f t="shared" si="7"/>
        <v>15.074</v>
      </c>
      <c r="U22" s="124"/>
    </row>
    <row r="23" spans="2:22" ht="15.75" thickBot="1" x14ac:dyDescent="0.3">
      <c r="B23" s="35" t="s">
        <v>25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R23" s="19" t="s">
        <v>36</v>
      </c>
      <c r="S23" s="126">
        <f>K33</f>
        <v>1888273</v>
      </c>
      <c r="T23" s="123">
        <f t="shared" si="7"/>
        <v>1888.2729999999999</v>
      </c>
      <c r="U23" s="124"/>
    </row>
    <row r="24" spans="2:22" x14ac:dyDescent="0.25">
      <c r="C24" s="77"/>
      <c r="D24" s="77"/>
      <c r="E24" s="77"/>
      <c r="F24" s="77"/>
      <c r="G24" s="77"/>
      <c r="H24" s="77"/>
      <c r="I24" s="77"/>
      <c r="J24" s="77"/>
      <c r="K24" s="77"/>
      <c r="L24" s="77"/>
      <c r="R24" s="19" t="s">
        <v>37</v>
      </c>
      <c r="S24" s="126">
        <f>K34</f>
        <v>42995</v>
      </c>
      <c r="T24" s="123">
        <f t="shared" si="7"/>
        <v>42.994999999999997</v>
      </c>
      <c r="U24" s="124"/>
    </row>
    <row r="25" spans="2:22" ht="15.75" thickBot="1" x14ac:dyDescent="0.3">
      <c r="C25" s="77"/>
      <c r="D25" s="77"/>
      <c r="E25" s="77"/>
      <c r="F25" s="77"/>
      <c r="G25" s="77"/>
      <c r="H25" s="77"/>
      <c r="I25" s="77"/>
      <c r="J25" s="77"/>
      <c r="K25" s="77"/>
      <c r="L25" s="77"/>
      <c r="R25" s="19" t="s">
        <v>38</v>
      </c>
      <c r="S25" s="126">
        <f>K35</f>
        <v>247245</v>
      </c>
      <c r="T25" s="123">
        <f t="shared" si="7"/>
        <v>247.245</v>
      </c>
      <c r="U25" s="124"/>
    </row>
    <row r="26" spans="2:22" x14ac:dyDescent="0.25">
      <c r="B26" s="8"/>
      <c r="C26" s="96"/>
      <c r="D26" s="96"/>
      <c r="E26" s="96"/>
      <c r="F26" s="96"/>
      <c r="G26" s="96"/>
      <c r="H26" s="77"/>
      <c r="I26" s="97" t="s">
        <v>26</v>
      </c>
      <c r="J26" s="98" t="s">
        <v>27</v>
      </c>
      <c r="K26" s="77"/>
      <c r="L26" s="77"/>
      <c r="M26" s="38" t="s">
        <v>28</v>
      </c>
      <c r="R26" s="19" t="s">
        <v>39</v>
      </c>
      <c r="S26" s="126">
        <f>K36</f>
        <v>71853</v>
      </c>
      <c r="T26" s="123">
        <f t="shared" si="7"/>
        <v>71.852999999999994</v>
      </c>
      <c r="U26" s="124"/>
    </row>
    <row r="27" spans="2:22" x14ac:dyDescent="0.25">
      <c r="B27" s="39" t="s">
        <v>29</v>
      </c>
      <c r="C27" s="78"/>
      <c r="D27" s="78"/>
      <c r="E27" s="78"/>
      <c r="F27" s="78"/>
      <c r="G27" s="78"/>
      <c r="H27" s="77"/>
      <c r="I27" s="72">
        <f>J10-I40</f>
        <v>31372</v>
      </c>
      <c r="J27" s="80">
        <f>J40*8%</f>
        <v>92476.72</v>
      </c>
      <c r="K27" s="77"/>
      <c r="L27" s="77"/>
      <c r="M27" s="40">
        <f>100-(I40/J10*100)</f>
        <v>12.101574223014282</v>
      </c>
      <c r="R27" s="19" t="s">
        <v>44</v>
      </c>
      <c r="S27" s="126">
        <f>K41</f>
        <v>233411</v>
      </c>
      <c r="T27" s="123">
        <f t="shared" si="7"/>
        <v>233.411</v>
      </c>
      <c r="U27" s="124"/>
    </row>
    <row r="28" spans="2:22" ht="15.75" thickBot="1" x14ac:dyDescent="0.3">
      <c r="B28" s="35" t="s">
        <v>30</v>
      </c>
      <c r="C28" s="94"/>
      <c r="D28" s="94"/>
      <c r="E28" s="94"/>
      <c r="F28" s="94"/>
      <c r="G28" s="94"/>
      <c r="H28" s="94"/>
      <c r="I28" s="99">
        <f>I40+I27-J10</f>
        <v>0</v>
      </c>
      <c r="J28" s="122">
        <f>J20-J27-J40</f>
        <v>-1028045.72</v>
      </c>
      <c r="K28" s="77"/>
      <c r="L28" s="77"/>
      <c r="M28" s="1" t="str">
        <f>IF(M27&gt;10,"OBS! HÖGA FÖRLUSTER","OK")</f>
        <v>OBS! HÖGA FÖRLUSTER</v>
      </c>
      <c r="R28" s="19" t="s">
        <v>112</v>
      </c>
      <c r="S28" s="58">
        <f>SUM(S22:S27)</f>
        <v>2498851</v>
      </c>
      <c r="T28" s="58">
        <f>SUM(T22:T27)</f>
        <v>2498.8510000000001</v>
      </c>
      <c r="U28" s="124"/>
    </row>
    <row r="29" spans="2:22" ht="15.75" thickBot="1" x14ac:dyDescent="0.3">
      <c r="C29" s="77"/>
      <c r="D29" s="77"/>
      <c r="E29" s="77"/>
      <c r="F29" s="77"/>
      <c r="G29" s="77"/>
      <c r="H29" s="77"/>
      <c r="I29" s="77"/>
      <c r="J29" s="77"/>
      <c r="K29" s="77"/>
      <c r="L29" s="77"/>
      <c r="R29" s="127" t="s">
        <v>113</v>
      </c>
      <c r="S29" s="128"/>
      <c r="T29" s="129">
        <f t="shared" ref="T29:T36" si="8">S29/1000</f>
        <v>0</v>
      </c>
      <c r="U29" s="48"/>
    </row>
    <row r="30" spans="2:22" ht="15.75" thickBot="1" x14ac:dyDescent="0.3">
      <c r="B30" s="8"/>
      <c r="C30" s="100" t="s">
        <v>0</v>
      </c>
      <c r="D30" s="100"/>
      <c r="E30" s="100"/>
      <c r="F30" s="100" t="s">
        <v>1</v>
      </c>
      <c r="G30" s="100"/>
      <c r="H30" s="96"/>
      <c r="I30" s="96"/>
      <c r="J30" s="96"/>
      <c r="K30" s="101"/>
      <c r="L30" s="77"/>
      <c r="R30" s="49" t="s">
        <v>114</v>
      </c>
      <c r="S30" s="50">
        <f>J27</f>
        <v>92476.72</v>
      </c>
      <c r="T30" s="130">
        <f t="shared" si="8"/>
        <v>92.47672</v>
      </c>
      <c r="U30" s="53"/>
    </row>
    <row r="31" spans="2:22" ht="30" x14ac:dyDescent="0.25">
      <c r="B31" s="41" t="s">
        <v>31</v>
      </c>
      <c r="C31" s="102" t="s">
        <v>58</v>
      </c>
      <c r="D31" s="102" t="s">
        <v>97</v>
      </c>
      <c r="E31" s="102" t="s">
        <v>56</v>
      </c>
      <c r="F31" s="103" t="s">
        <v>57</v>
      </c>
      <c r="G31" s="103" t="s">
        <v>102</v>
      </c>
      <c r="H31" s="103" t="s">
        <v>25</v>
      </c>
      <c r="I31" s="104" t="s">
        <v>32</v>
      </c>
      <c r="J31" s="104" t="s">
        <v>33</v>
      </c>
      <c r="K31" s="105" t="s">
        <v>34</v>
      </c>
      <c r="L31" s="77"/>
      <c r="R31" s="49" t="s">
        <v>115</v>
      </c>
      <c r="S31" s="50">
        <f>I27</f>
        <v>31372</v>
      </c>
      <c r="T31" s="130">
        <f t="shared" si="8"/>
        <v>31.372</v>
      </c>
      <c r="U31" s="53"/>
    </row>
    <row r="32" spans="2:22" x14ac:dyDescent="0.25">
      <c r="B32" s="19" t="s">
        <v>35</v>
      </c>
      <c r="C32" s="78">
        <v>8518</v>
      </c>
      <c r="D32" s="78">
        <v>0</v>
      </c>
      <c r="E32" s="78">
        <v>0</v>
      </c>
      <c r="F32" s="78">
        <v>923</v>
      </c>
      <c r="G32" s="78">
        <v>0</v>
      </c>
      <c r="H32" s="78">
        <v>0</v>
      </c>
      <c r="I32" s="78">
        <v>0</v>
      </c>
      <c r="J32" s="78">
        <v>5633</v>
      </c>
      <c r="K32" s="80">
        <f>SUM(C32:J32)</f>
        <v>15074</v>
      </c>
      <c r="L32" s="77"/>
      <c r="R32" s="49" t="s">
        <v>116</v>
      </c>
      <c r="S32" s="50">
        <f>K20-J20</f>
        <v>3343.636099102092</v>
      </c>
      <c r="T32" s="130">
        <f t="shared" si="8"/>
        <v>3.3436360991020919</v>
      </c>
      <c r="U32"/>
    </row>
    <row r="33" spans="2:39" x14ac:dyDescent="0.25">
      <c r="B33" s="19" t="s">
        <v>36</v>
      </c>
      <c r="C33" s="106">
        <v>119388</v>
      </c>
      <c r="D33" s="78">
        <v>0</v>
      </c>
      <c r="E33" s="106">
        <v>240593</v>
      </c>
      <c r="F33" s="78">
        <v>655</v>
      </c>
      <c r="G33" s="106">
        <v>436478</v>
      </c>
      <c r="H33" s="78">
        <v>0</v>
      </c>
      <c r="I33" s="78">
        <v>93491</v>
      </c>
      <c r="J33" s="78">
        <v>997668</v>
      </c>
      <c r="K33" s="80">
        <f t="shared" ref="K33:K40" si="9">SUM(C33:J33)</f>
        <v>1888273</v>
      </c>
      <c r="L33" s="77"/>
      <c r="R33" s="49" t="s">
        <v>117</v>
      </c>
      <c r="S33" s="50">
        <f>L4</f>
        <v>0</v>
      </c>
      <c r="T33" s="130">
        <f t="shared" si="8"/>
        <v>0</v>
      </c>
      <c r="U33" s="53"/>
    </row>
    <row r="34" spans="2:39" x14ac:dyDescent="0.25">
      <c r="B34" s="19" t="s">
        <v>37</v>
      </c>
      <c r="C34" s="78">
        <v>129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26176</v>
      </c>
      <c r="J34" s="78">
        <v>16690</v>
      </c>
      <c r="K34" s="80">
        <f t="shared" si="9"/>
        <v>42995</v>
      </c>
      <c r="L34" s="77"/>
      <c r="R34" s="49" t="s">
        <v>118</v>
      </c>
      <c r="S34" s="50">
        <f>L5</f>
        <v>50678</v>
      </c>
      <c r="T34" s="130">
        <f t="shared" si="8"/>
        <v>50.677999999999997</v>
      </c>
      <c r="U34" s="53"/>
    </row>
    <row r="35" spans="2:39" x14ac:dyDescent="0.25">
      <c r="B35" s="19" t="s">
        <v>38</v>
      </c>
      <c r="C35" s="78">
        <v>226178</v>
      </c>
      <c r="D35" s="78">
        <v>0</v>
      </c>
      <c r="E35" s="78">
        <v>0</v>
      </c>
      <c r="F35" s="78">
        <v>20826</v>
      </c>
      <c r="G35" s="78">
        <v>0</v>
      </c>
      <c r="H35" s="78">
        <v>0</v>
      </c>
      <c r="I35" s="78">
        <v>0</v>
      </c>
      <c r="J35" s="78">
        <v>241</v>
      </c>
      <c r="K35" s="80">
        <f t="shared" si="9"/>
        <v>247245</v>
      </c>
      <c r="L35" s="77"/>
      <c r="R35" s="49" t="s">
        <v>119</v>
      </c>
      <c r="S35" s="50">
        <f>L15</f>
        <v>0</v>
      </c>
      <c r="T35" s="130">
        <f t="shared" si="8"/>
        <v>0</v>
      </c>
      <c r="U35" s="53"/>
    </row>
    <row r="36" spans="2:39" ht="15.75" thickBot="1" x14ac:dyDescent="0.3">
      <c r="B36" s="19" t="s">
        <v>39</v>
      </c>
      <c r="C36" s="78">
        <v>375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19627</v>
      </c>
      <c r="J36" s="78">
        <v>51851</v>
      </c>
      <c r="K36" s="80">
        <f t="shared" si="9"/>
        <v>71853</v>
      </c>
      <c r="L36" s="77"/>
      <c r="R36" s="54" t="s">
        <v>120</v>
      </c>
      <c r="S36" s="131">
        <f>L16</f>
        <v>5753.2268041237112</v>
      </c>
      <c r="T36" s="132">
        <f t="shared" si="8"/>
        <v>5.7532268041237113</v>
      </c>
    </row>
    <row r="37" spans="2:39" x14ac:dyDescent="0.25">
      <c r="B37" s="19" t="s">
        <v>40</v>
      </c>
      <c r="C37" s="78">
        <v>973</v>
      </c>
      <c r="D37" s="78">
        <v>0</v>
      </c>
      <c r="E37" s="78">
        <v>0</v>
      </c>
      <c r="F37" s="78">
        <v>0</v>
      </c>
      <c r="G37" s="78">
        <v>59989</v>
      </c>
      <c r="H37" s="78">
        <v>0</v>
      </c>
      <c r="I37" s="78">
        <v>22527</v>
      </c>
      <c r="J37" s="78">
        <v>67527</v>
      </c>
      <c r="K37" s="80">
        <f t="shared" si="9"/>
        <v>151016</v>
      </c>
      <c r="L37" s="77"/>
      <c r="R37" s="125" t="s">
        <v>121</v>
      </c>
      <c r="S37" s="133">
        <f>SUM(S30:S36)</f>
        <v>183623.58290322579</v>
      </c>
      <c r="T37" s="134">
        <f>SUM(T30:T36)</f>
        <v>183.62358290322578</v>
      </c>
      <c r="U37"/>
    </row>
    <row r="38" spans="2:39" x14ac:dyDescent="0.25">
      <c r="B38" s="19" t="s">
        <v>41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66046</v>
      </c>
      <c r="J38" s="78">
        <v>9530</v>
      </c>
      <c r="K38" s="80">
        <f t="shared" si="9"/>
        <v>75576</v>
      </c>
      <c r="L38" s="108"/>
      <c r="N38" s="6"/>
      <c r="O38" s="6"/>
      <c r="P38" s="6"/>
      <c r="Q38" s="6"/>
      <c r="R38" s="125" t="s">
        <v>122</v>
      </c>
      <c r="S38"/>
      <c r="T38" s="58">
        <f>T28+T37+T21</f>
        <v>2682.4745829032258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2:39" x14ac:dyDescent="0.25">
      <c r="B39" s="19" t="s">
        <v>42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6819</v>
      </c>
      <c r="K39" s="80">
        <f t="shared" si="9"/>
        <v>6819</v>
      </c>
      <c r="L39" s="77"/>
      <c r="R39" s="1" t="s">
        <v>123</v>
      </c>
      <c r="S39"/>
      <c r="T39" s="135">
        <f>T19-T38</f>
        <v>70.625773195875809</v>
      </c>
      <c r="U39" s="136"/>
    </row>
    <row r="40" spans="2:39" x14ac:dyDescent="0.25">
      <c r="B40" s="19" t="s">
        <v>43</v>
      </c>
      <c r="C40" s="74">
        <f>SUM(C32:C39)</f>
        <v>355561</v>
      </c>
      <c r="D40" s="72">
        <f t="shared" ref="D40:J40" si="10">SUM(D32:D39)</f>
        <v>0</v>
      </c>
      <c r="E40" s="74">
        <f t="shared" si="10"/>
        <v>240593</v>
      </c>
      <c r="F40" s="72">
        <f t="shared" si="10"/>
        <v>22404</v>
      </c>
      <c r="G40" s="74">
        <f t="shared" si="10"/>
        <v>496467</v>
      </c>
      <c r="H40" s="72">
        <f t="shared" si="10"/>
        <v>0</v>
      </c>
      <c r="I40" s="72">
        <f t="shared" si="10"/>
        <v>227867</v>
      </c>
      <c r="J40" s="72">
        <f t="shared" si="10"/>
        <v>1155959</v>
      </c>
      <c r="K40" s="80">
        <f t="shared" si="9"/>
        <v>2498851</v>
      </c>
      <c r="L40" s="77"/>
    </row>
    <row r="41" spans="2:39" x14ac:dyDescent="0.25">
      <c r="B41" s="19" t="s">
        <v>44</v>
      </c>
      <c r="C41" s="72">
        <f>SUM(C37:C39)</f>
        <v>973</v>
      </c>
      <c r="D41" s="72">
        <f t="shared" ref="D41:K41" si="11">SUM(D37:D39)</f>
        <v>0</v>
      </c>
      <c r="E41" s="72">
        <f t="shared" si="11"/>
        <v>0</v>
      </c>
      <c r="F41" s="72">
        <f t="shared" si="11"/>
        <v>0</v>
      </c>
      <c r="G41" s="72">
        <f t="shared" si="11"/>
        <v>59989</v>
      </c>
      <c r="H41" s="72">
        <f t="shared" si="11"/>
        <v>0</v>
      </c>
      <c r="I41" s="72">
        <f t="shared" si="11"/>
        <v>88573</v>
      </c>
      <c r="J41" s="72">
        <f t="shared" si="11"/>
        <v>83876</v>
      </c>
      <c r="K41" s="72">
        <f t="shared" si="11"/>
        <v>233411</v>
      </c>
      <c r="L41" s="77"/>
    </row>
    <row r="42" spans="2:39" x14ac:dyDescent="0.25">
      <c r="B42" s="24"/>
      <c r="C42" s="112"/>
      <c r="D42" s="112"/>
      <c r="E42" s="112"/>
      <c r="F42" s="112"/>
      <c r="G42" s="112"/>
      <c r="H42" s="112"/>
      <c r="I42" s="112"/>
      <c r="J42" s="112"/>
      <c r="K42" s="113"/>
      <c r="L42" s="114"/>
    </row>
    <row r="43" spans="2:39" ht="15.75" thickBot="1" x14ac:dyDescent="0.3">
      <c r="B43" s="43"/>
      <c r="C43" s="44"/>
      <c r="D43" s="44"/>
      <c r="E43" s="44"/>
      <c r="F43" s="44"/>
      <c r="G43" s="44"/>
      <c r="H43" s="44"/>
      <c r="I43" s="44"/>
      <c r="J43" s="44"/>
      <c r="K43" s="45"/>
    </row>
    <row r="46" spans="2:39" x14ac:dyDescent="0.25">
      <c r="E46" s="30"/>
    </row>
    <row r="47" spans="2:39" x14ac:dyDescent="0.25">
      <c r="E47" s="3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51"/>
  <sheetViews>
    <sheetView zoomScale="70" zoomScaleNormal="70" workbookViewId="0">
      <selection activeCell="L20" sqref="L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6.42578125" style="1" bestFit="1" customWidth="1"/>
    <col min="4" max="4" width="15.85546875" style="1" bestFit="1" customWidth="1"/>
    <col min="5" max="5" width="16.42578125" style="1" bestFit="1" customWidth="1"/>
    <col min="6" max="7" width="15" style="1" bestFit="1" customWidth="1"/>
    <col min="8" max="8" width="15.42578125" style="1" bestFit="1" customWidth="1"/>
    <col min="9" max="9" width="27.140625" style="1" customWidth="1"/>
    <col min="10" max="10" width="17.7109375" style="1" customWidth="1"/>
    <col min="11" max="11" width="20.42578125" style="1" customWidth="1"/>
    <col min="12" max="12" width="21.85546875" style="1" customWidth="1"/>
    <col min="13" max="13" width="25.5703125" style="1" customWidth="1"/>
    <col min="14" max="14" width="9.140625" style="1"/>
    <col min="15" max="15" width="10.7109375" style="1" bestFit="1" customWidth="1"/>
    <col min="16" max="17" width="9.140625" style="1"/>
    <col min="18" max="18" width="36" style="1" bestFit="1" customWidth="1"/>
    <col min="19" max="19" width="14.85546875" style="1" bestFit="1" customWidth="1"/>
    <col min="20" max="20" width="10.7109375" style="1" bestFit="1" customWidth="1"/>
    <col min="21" max="16384" width="9.140625" style="1"/>
  </cols>
  <sheetData>
    <row r="1" spans="2:22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4"/>
      <c r="I1" s="5" t="s">
        <v>2</v>
      </c>
      <c r="J1" s="5" t="s">
        <v>3</v>
      </c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1"/>
    </row>
    <row r="2" spans="2:22" s="7" customFormat="1" ht="60" x14ac:dyDescent="0.25">
      <c r="B2" s="8"/>
      <c r="C2" s="9" t="s">
        <v>58</v>
      </c>
      <c r="D2" s="9" t="s">
        <v>53</v>
      </c>
      <c r="E2" s="9" t="s">
        <v>56</v>
      </c>
      <c r="F2" s="10" t="s">
        <v>57</v>
      </c>
      <c r="G2" s="10" t="s">
        <v>102</v>
      </c>
      <c r="H2" s="10" t="s">
        <v>25</v>
      </c>
      <c r="I2" s="11" t="s">
        <v>4</v>
      </c>
      <c r="J2" s="11" t="s">
        <v>5</v>
      </c>
      <c r="L2" s="12" t="s">
        <v>6</v>
      </c>
      <c r="M2" s="13"/>
      <c r="N2" s="6"/>
      <c r="O2" s="6"/>
      <c r="P2" s="6"/>
      <c r="Q2" s="6"/>
      <c r="R2" s="6"/>
      <c r="S2" s="6"/>
      <c r="T2" s="6"/>
      <c r="U2" s="6"/>
      <c r="V2" s="1"/>
    </row>
    <row r="3" spans="2:22" s="7" customFormat="1" x14ac:dyDescent="0.25">
      <c r="B3" s="14" t="s">
        <v>7</v>
      </c>
      <c r="C3" s="15"/>
      <c r="D3" s="15"/>
      <c r="E3" s="15"/>
      <c r="F3" s="15"/>
      <c r="G3" s="15"/>
      <c r="H3" s="15"/>
      <c r="I3" s="16"/>
      <c r="J3" s="16"/>
      <c r="K3" s="17"/>
      <c r="L3" s="18"/>
      <c r="M3" s="1"/>
      <c r="N3" s="6"/>
      <c r="O3" s="6"/>
      <c r="P3" s="6"/>
      <c r="Q3" s="6"/>
      <c r="T3" s="7" t="s">
        <v>48</v>
      </c>
      <c r="V3" s="1"/>
    </row>
    <row r="4" spans="2:22" s="7" customFormat="1" x14ac:dyDescent="0.25">
      <c r="B4" s="19" t="s">
        <v>8</v>
      </c>
      <c r="C4" s="77">
        <v>649.41700000000014</v>
      </c>
      <c r="D4" s="77">
        <v>118306</v>
      </c>
      <c r="E4" s="77">
        <v>0</v>
      </c>
      <c r="F4" s="77">
        <v>0</v>
      </c>
      <c r="G4" s="77">
        <v>0</v>
      </c>
      <c r="H4" s="77">
        <v>0</v>
      </c>
      <c r="I4" s="77">
        <f>SUM(C4:H4)</f>
        <v>118955.417</v>
      </c>
      <c r="J4" s="78">
        <v>151600</v>
      </c>
      <c r="K4" s="137">
        <f>J4/(J4+J5)</f>
        <v>0.83988919667590023</v>
      </c>
      <c r="L4" s="80">
        <f>I4-J4</f>
        <v>-32644.582999999999</v>
      </c>
      <c r="M4" s="1"/>
      <c r="N4" s="6"/>
      <c r="O4" s="6"/>
      <c r="P4" s="6"/>
      <c r="Q4" s="6"/>
      <c r="R4" s="49" t="s">
        <v>103</v>
      </c>
      <c r="S4" s="21">
        <f>K20</f>
        <v>790153.3234951779</v>
      </c>
      <c r="T4" s="123">
        <f>S4/1000</f>
        <v>790.15332349517791</v>
      </c>
      <c r="U4" s="124"/>
      <c r="V4" s="1"/>
    </row>
    <row r="5" spans="2:22" s="7" customFormat="1" x14ac:dyDescent="0.25">
      <c r="B5" s="19" t="s">
        <v>9</v>
      </c>
      <c r="C5" s="77">
        <v>3180</v>
      </c>
      <c r="D5" s="77">
        <v>0</v>
      </c>
      <c r="E5" s="77">
        <v>0</v>
      </c>
      <c r="F5" s="77">
        <v>0</v>
      </c>
      <c r="G5" s="77">
        <v>21000</v>
      </c>
      <c r="H5" s="77">
        <v>0</v>
      </c>
      <c r="I5" s="77">
        <f t="shared" ref="I5:I10" si="0">SUM(C5:H5)</f>
        <v>24180</v>
      </c>
      <c r="J5" s="78">
        <v>28900</v>
      </c>
      <c r="K5" s="137">
        <f>J5/(J4+J5)</f>
        <v>0.16011080332409972</v>
      </c>
      <c r="L5" s="80">
        <f>I5-J5</f>
        <v>-4720</v>
      </c>
      <c r="M5" s="1"/>
      <c r="N5" s="6"/>
      <c r="O5" s="6"/>
      <c r="P5" s="6"/>
      <c r="Q5" s="6"/>
      <c r="R5" s="7" t="s">
        <v>104</v>
      </c>
      <c r="S5" s="21">
        <f>IF(J28&gt;0,0,J28)*-1</f>
        <v>2710867.76</v>
      </c>
      <c r="T5" s="123">
        <f>S5/1000</f>
        <v>2710.8677599999996</v>
      </c>
      <c r="V5" s="1"/>
    </row>
    <row r="6" spans="2:22" s="7" customFormat="1" x14ac:dyDescent="0.25">
      <c r="B6" s="19" t="s">
        <v>10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f t="shared" si="0"/>
        <v>0</v>
      </c>
      <c r="J6" s="78">
        <v>200</v>
      </c>
      <c r="K6" s="79"/>
      <c r="L6" s="80"/>
      <c r="M6" s="1"/>
      <c r="N6" s="6"/>
      <c r="O6" s="6"/>
      <c r="P6" s="6"/>
      <c r="Q6" s="6"/>
      <c r="R6" s="49" t="s">
        <v>50</v>
      </c>
      <c r="S6" s="123">
        <f>G10+G20+G40</f>
        <v>141692</v>
      </c>
      <c r="T6" s="123">
        <f>S6/1000</f>
        <v>141.69200000000001</v>
      </c>
      <c r="U6" s="124"/>
      <c r="V6" s="1"/>
    </row>
    <row r="7" spans="2:22" s="7" customFormat="1" x14ac:dyDescent="0.25">
      <c r="B7" s="19" t="s">
        <v>11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f t="shared" si="0"/>
        <v>0</v>
      </c>
      <c r="J7" s="78">
        <v>10900</v>
      </c>
      <c r="K7" s="79"/>
      <c r="L7" s="80"/>
      <c r="M7" s="1"/>
      <c r="N7" s="6"/>
      <c r="O7" s="6"/>
      <c r="P7" s="6"/>
      <c r="Q7" s="6"/>
      <c r="R7" s="49" t="s">
        <v>52</v>
      </c>
      <c r="U7" s="124"/>
      <c r="V7" s="1"/>
    </row>
    <row r="8" spans="2:22" s="7" customFormat="1" x14ac:dyDescent="0.25">
      <c r="B8" s="19" t="s">
        <v>12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f t="shared" si="0"/>
        <v>0</v>
      </c>
      <c r="J8" s="78">
        <v>273141</v>
      </c>
      <c r="K8" s="79"/>
      <c r="L8" s="80"/>
      <c r="M8" s="1"/>
      <c r="N8" s="6"/>
      <c r="O8" s="6"/>
      <c r="P8" s="6"/>
      <c r="Q8" s="6"/>
      <c r="R8" s="49" t="s">
        <v>53</v>
      </c>
      <c r="S8" s="123">
        <f>D10+D20</f>
        <v>203679</v>
      </c>
      <c r="T8" s="123">
        <f>S8/1000</f>
        <v>203.679</v>
      </c>
      <c r="U8" s="124"/>
      <c r="V8" s="1"/>
    </row>
    <row r="9" spans="2:22" s="7" customFormat="1" x14ac:dyDescent="0.25">
      <c r="B9" s="19" t="s">
        <v>13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f t="shared" si="0"/>
        <v>0</v>
      </c>
      <c r="J9" s="78">
        <v>1638</v>
      </c>
      <c r="K9" s="79"/>
      <c r="L9" s="80"/>
      <c r="M9" s="1"/>
      <c r="N9" s="6"/>
      <c r="O9" s="6"/>
      <c r="P9" s="6"/>
      <c r="Q9" s="6"/>
      <c r="R9" s="125" t="s">
        <v>97</v>
      </c>
      <c r="S9" s="123">
        <f>D40</f>
        <v>100000</v>
      </c>
      <c r="T9" s="123">
        <f t="shared" ref="T9:T14" si="1">S9/1000</f>
        <v>100</v>
      </c>
      <c r="U9" s="124"/>
      <c r="V9" s="1"/>
    </row>
    <row r="10" spans="2:22" s="7" customFormat="1" x14ac:dyDescent="0.25">
      <c r="B10" s="19" t="s">
        <v>14</v>
      </c>
      <c r="C10" s="78">
        <f t="shared" ref="C10:J10" si="2">SUM(C4:C9)</f>
        <v>3829.4170000000004</v>
      </c>
      <c r="D10" s="78">
        <f t="shared" si="2"/>
        <v>118306</v>
      </c>
      <c r="E10" s="78">
        <f t="shared" si="2"/>
        <v>0</v>
      </c>
      <c r="F10" s="78">
        <f t="shared" si="2"/>
        <v>0</v>
      </c>
      <c r="G10" s="78">
        <f t="shared" si="2"/>
        <v>21000</v>
      </c>
      <c r="H10" s="78">
        <f t="shared" si="2"/>
        <v>0</v>
      </c>
      <c r="I10" s="77">
        <f t="shared" si="0"/>
        <v>143135.41700000002</v>
      </c>
      <c r="J10" s="78">
        <f t="shared" si="2"/>
        <v>466379</v>
      </c>
      <c r="K10" s="79"/>
      <c r="L10" s="80">
        <f>SUM(L4:L9)</f>
        <v>-37364.582999999999</v>
      </c>
      <c r="M10" s="1"/>
      <c r="N10" s="6"/>
      <c r="O10" s="6"/>
      <c r="P10" s="6"/>
      <c r="Q10" s="6"/>
      <c r="R10" s="49" t="s">
        <v>55</v>
      </c>
      <c r="S10" s="123"/>
      <c r="T10" s="123">
        <f t="shared" si="1"/>
        <v>0</v>
      </c>
      <c r="U10" s="124"/>
      <c r="V10" s="1"/>
    </row>
    <row r="11" spans="2:22" s="7" customFormat="1" x14ac:dyDescent="0.25">
      <c r="B11" s="22"/>
      <c r="C11" s="83"/>
      <c r="D11" s="83"/>
      <c r="E11" s="83"/>
      <c r="F11" s="83"/>
      <c r="G11" s="83"/>
      <c r="H11" s="83"/>
      <c r="I11" s="83"/>
      <c r="J11" s="83"/>
      <c r="K11" s="84"/>
      <c r="L11" s="85"/>
      <c r="M11" s="1"/>
      <c r="N11" s="6"/>
      <c r="O11" s="6"/>
      <c r="P11" s="6"/>
      <c r="Q11" s="6"/>
      <c r="R11" s="49" t="s">
        <v>56</v>
      </c>
      <c r="S11" s="123">
        <f>E10+E20+E40</f>
        <v>572765</v>
      </c>
      <c r="T11" s="123">
        <f t="shared" si="1"/>
        <v>572.76499999999999</v>
      </c>
      <c r="U11" s="124"/>
      <c r="V11" s="1"/>
    </row>
    <row r="12" spans="2:22" s="7" customFormat="1" x14ac:dyDescent="0.25">
      <c r="B12" s="23" t="s">
        <v>15</v>
      </c>
      <c r="C12" s="83"/>
      <c r="D12" s="83"/>
      <c r="E12" s="83"/>
      <c r="F12" s="83"/>
      <c r="G12" s="83"/>
      <c r="H12" s="83"/>
      <c r="I12" s="79"/>
      <c r="J12" s="79"/>
      <c r="K12" s="84"/>
      <c r="L12" s="85"/>
      <c r="M12" s="1"/>
      <c r="N12" s="6"/>
      <c r="O12" s="6"/>
      <c r="P12" s="6"/>
      <c r="Q12" s="6"/>
      <c r="R12" s="49" t="s">
        <v>25</v>
      </c>
      <c r="S12" s="123">
        <f>H10+H20+H40</f>
        <v>0</v>
      </c>
      <c r="T12" s="123">
        <f t="shared" si="1"/>
        <v>0</v>
      </c>
      <c r="U12" s="124"/>
      <c r="V12" s="1"/>
    </row>
    <row r="13" spans="2:22" x14ac:dyDescent="0.25">
      <c r="B13" s="24"/>
      <c r="C13" s="78"/>
      <c r="D13" s="78"/>
      <c r="E13" s="78"/>
      <c r="F13" s="78"/>
      <c r="G13" s="78"/>
      <c r="H13" s="78"/>
      <c r="I13" s="78"/>
      <c r="J13" s="78"/>
      <c r="K13" s="78"/>
      <c r="L13" s="86"/>
      <c r="M13" s="6"/>
      <c r="R13" s="49" t="s">
        <v>57</v>
      </c>
      <c r="S13" s="123">
        <f>F10+F20+F40</f>
        <v>43787</v>
      </c>
      <c r="T13" s="123">
        <f t="shared" si="1"/>
        <v>43.786999999999999</v>
      </c>
      <c r="U13" s="124"/>
    </row>
    <row r="14" spans="2:22" ht="18.75" x14ac:dyDescent="0.3">
      <c r="B14" s="26" t="s">
        <v>16</v>
      </c>
      <c r="C14" s="87"/>
      <c r="D14" s="87"/>
      <c r="E14" s="87"/>
      <c r="F14" s="87"/>
      <c r="G14" s="87"/>
      <c r="H14" s="87"/>
      <c r="I14" s="87"/>
      <c r="J14" s="88" t="s">
        <v>17</v>
      </c>
      <c r="K14" s="89" t="s">
        <v>18</v>
      </c>
      <c r="L14" s="90"/>
      <c r="M14" s="27" t="s">
        <v>19</v>
      </c>
      <c r="N14" s="28"/>
      <c r="R14" s="49" t="s">
        <v>58</v>
      </c>
      <c r="S14" s="123">
        <f>C10+C20+C40</f>
        <v>983013.41700000002</v>
      </c>
      <c r="T14" s="123">
        <f t="shared" si="1"/>
        <v>983.013417</v>
      </c>
      <c r="U14" s="124"/>
    </row>
    <row r="15" spans="2:22" x14ac:dyDescent="0.25">
      <c r="B15" s="19" t="s">
        <v>20</v>
      </c>
      <c r="C15" s="78">
        <v>262.18299999999994</v>
      </c>
      <c r="D15" s="78">
        <v>85373</v>
      </c>
      <c r="E15" s="78">
        <v>0</v>
      </c>
      <c r="F15" s="78">
        <v>0</v>
      </c>
      <c r="G15" s="78">
        <v>0</v>
      </c>
      <c r="H15" s="78">
        <v>0</v>
      </c>
      <c r="I15" s="78">
        <f>SUM(C15:H15)</f>
        <v>85635.183000000005</v>
      </c>
      <c r="J15" s="78">
        <v>33649</v>
      </c>
      <c r="K15" s="91">
        <f>J15/(1-M15)</f>
        <v>34689.690721649487</v>
      </c>
      <c r="L15" s="92">
        <f>I15-K15</f>
        <v>50945.492278350517</v>
      </c>
      <c r="M15" s="29">
        <v>0.03</v>
      </c>
      <c r="O15" s="30"/>
      <c r="R15" s="125" t="s">
        <v>106</v>
      </c>
      <c r="S15" s="123">
        <f>SUM(S4:S14)</f>
        <v>5545957.5004951777</v>
      </c>
      <c r="T15" s="123">
        <f>SUM(T4:T14)</f>
        <v>5545.9575004951785</v>
      </c>
      <c r="U15" s="124"/>
    </row>
    <row r="16" spans="2:22" x14ac:dyDescent="0.25">
      <c r="B16" s="19" t="s">
        <v>21</v>
      </c>
      <c r="C16" s="78">
        <v>567.81700000000001</v>
      </c>
      <c r="D16" s="78">
        <v>0</v>
      </c>
      <c r="E16" s="78">
        <v>0</v>
      </c>
      <c r="F16" s="78">
        <v>0</v>
      </c>
      <c r="G16" s="78">
        <v>40699.000000000007</v>
      </c>
      <c r="H16" s="78">
        <v>0</v>
      </c>
      <c r="I16" s="78">
        <f t="shared" ref="I16:I20" si="3">SUM(C16:H16)</f>
        <v>41266.81700000001</v>
      </c>
      <c r="J16" s="78">
        <v>54978</v>
      </c>
      <c r="K16" s="91">
        <f>J16/(1-M16)</f>
        <v>56678.350515463921</v>
      </c>
      <c r="L16" s="92">
        <f>I16-K16</f>
        <v>-15411.533515463911</v>
      </c>
      <c r="M16" s="29">
        <v>0.03</v>
      </c>
      <c r="O16" s="30"/>
      <c r="R16" t="s">
        <v>107</v>
      </c>
      <c r="S16" s="57">
        <f>J8</f>
        <v>273141</v>
      </c>
      <c r="T16" s="57">
        <f>S16/1000</f>
        <v>273.14100000000002</v>
      </c>
      <c r="U16" s="124"/>
    </row>
    <row r="17" spans="2:22" x14ac:dyDescent="0.25">
      <c r="B17" s="19" t="s">
        <v>22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f t="shared" si="3"/>
        <v>0</v>
      </c>
      <c r="J17" s="78">
        <v>0</v>
      </c>
      <c r="K17" s="91">
        <f>J17/(1-M17)</f>
        <v>0</v>
      </c>
      <c r="L17" s="92">
        <f>I17-K17</f>
        <v>0</v>
      </c>
      <c r="M17" s="29">
        <v>0.03</v>
      </c>
      <c r="O17" s="30"/>
      <c r="R17" t="s">
        <v>108</v>
      </c>
      <c r="S17" s="57">
        <f>J9</f>
        <v>1638</v>
      </c>
      <c r="T17" s="57">
        <f t="shared" ref="T17:T18" si="4">S17/1000</f>
        <v>1.6379999999999999</v>
      </c>
      <c r="U17" s="124"/>
      <c r="V17" s="6"/>
    </row>
    <row r="18" spans="2:22" x14ac:dyDescent="0.25">
      <c r="B18" s="19" t="s">
        <v>23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f t="shared" si="3"/>
        <v>0</v>
      </c>
      <c r="J18" s="78">
        <v>693195</v>
      </c>
      <c r="K18" s="91">
        <f>J18/(1-M18)</f>
        <v>698785.28225806449</v>
      </c>
      <c r="L18" s="92"/>
      <c r="M18" s="31">
        <v>8.0000000000000002E-3</v>
      </c>
      <c r="O18" s="30"/>
      <c r="R18" t="s">
        <v>109</v>
      </c>
      <c r="S18" s="57">
        <f>J6+J7</f>
        <v>11100</v>
      </c>
      <c r="T18" s="57">
        <f t="shared" si="4"/>
        <v>11.1</v>
      </c>
      <c r="U18"/>
    </row>
    <row r="19" spans="2:22" x14ac:dyDescent="0.25">
      <c r="B19" s="19" t="s">
        <v>24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f t="shared" si="3"/>
        <v>0</v>
      </c>
      <c r="J19" s="78">
        <v>0</v>
      </c>
      <c r="K19" s="91">
        <f>J19/(1-M19)</f>
        <v>0</v>
      </c>
      <c r="L19" s="92">
        <f t="shared" ref="L19:L20" si="5">I19-K19</f>
        <v>0</v>
      </c>
      <c r="M19" s="1">
        <v>0</v>
      </c>
      <c r="O19" s="30"/>
      <c r="R19" t="s">
        <v>110</v>
      </c>
      <c r="S19" s="57">
        <f>SUM(S15:S18)</f>
        <v>5831836.5004951777</v>
      </c>
      <c r="T19" s="57">
        <f>SUM(T15:T18)</f>
        <v>5831.8365004951784</v>
      </c>
      <c r="U19"/>
    </row>
    <row r="20" spans="2:22" x14ac:dyDescent="0.25">
      <c r="B20" s="19" t="s">
        <v>14</v>
      </c>
      <c r="C20" s="78">
        <f t="shared" ref="C20:H20" si="6">SUM(C15:C19)</f>
        <v>830</v>
      </c>
      <c r="D20" s="78">
        <f t="shared" si="6"/>
        <v>85373</v>
      </c>
      <c r="E20" s="78">
        <f t="shared" si="6"/>
        <v>0</v>
      </c>
      <c r="F20" s="78">
        <f t="shared" si="6"/>
        <v>0</v>
      </c>
      <c r="G20" s="78">
        <f t="shared" si="6"/>
        <v>40699.000000000007</v>
      </c>
      <c r="H20" s="78">
        <f t="shared" si="6"/>
        <v>0</v>
      </c>
      <c r="I20" s="78">
        <f t="shared" si="3"/>
        <v>126902</v>
      </c>
      <c r="J20" s="78">
        <f>SUM(J15:J19)</f>
        <v>781822</v>
      </c>
      <c r="K20" s="93">
        <f>SUM(K15:K19)</f>
        <v>790153.3234951779</v>
      </c>
      <c r="L20" s="93">
        <f>SUM(L15:L19)</f>
        <v>35533.958762886607</v>
      </c>
      <c r="M20" s="32"/>
      <c r="N20" s="33"/>
      <c r="O20" s="30"/>
      <c r="R20"/>
      <c r="S20"/>
      <c r="T20"/>
      <c r="U20"/>
    </row>
    <row r="21" spans="2:22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7"/>
      <c r="L21" s="86"/>
      <c r="M21" s="30"/>
      <c r="R21" s="19" t="s">
        <v>111</v>
      </c>
      <c r="S21" s="21">
        <f>IF(J28&lt;0,0,J28)</f>
        <v>0</v>
      </c>
      <c r="T21" s="123">
        <f t="shared" ref="T21:T27" si="7">S21/1000</f>
        <v>0</v>
      </c>
      <c r="U21" s="124"/>
    </row>
    <row r="22" spans="2:22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86"/>
      <c r="R22" s="19" t="s">
        <v>35</v>
      </c>
      <c r="S22" s="126">
        <f>K32</f>
        <v>14254</v>
      </c>
      <c r="T22" s="123">
        <f t="shared" si="7"/>
        <v>14.254</v>
      </c>
      <c r="U22" s="124"/>
    </row>
    <row r="23" spans="2:22" ht="15.75" thickBot="1" x14ac:dyDescent="0.3">
      <c r="B23" s="35" t="s">
        <v>25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R23" s="19" t="s">
        <v>36</v>
      </c>
      <c r="S23" s="126">
        <f>K33</f>
        <v>4010043</v>
      </c>
      <c r="T23" s="123">
        <f t="shared" si="7"/>
        <v>4010.0430000000001</v>
      </c>
      <c r="U23" s="124"/>
    </row>
    <row r="24" spans="2:22" x14ac:dyDescent="0.25">
      <c r="C24" s="77"/>
      <c r="D24" s="77"/>
      <c r="E24" s="77"/>
      <c r="F24" s="77"/>
      <c r="G24" s="77"/>
      <c r="H24" s="77"/>
      <c r="I24" s="77"/>
      <c r="J24" s="77"/>
      <c r="K24" s="77"/>
      <c r="L24" s="77"/>
      <c r="R24" s="19" t="s">
        <v>37</v>
      </c>
      <c r="S24" s="126">
        <f>K34</f>
        <v>98487</v>
      </c>
      <c r="T24" s="123">
        <f t="shared" si="7"/>
        <v>98.486999999999995</v>
      </c>
      <c r="U24" s="124"/>
    </row>
    <row r="25" spans="2:22" ht="15.75" thickBot="1" x14ac:dyDescent="0.3">
      <c r="C25" s="77"/>
      <c r="D25" s="77"/>
      <c r="E25" s="77"/>
      <c r="F25" s="77"/>
      <c r="G25" s="77"/>
      <c r="H25" s="77"/>
      <c r="I25" s="77"/>
      <c r="J25" s="77"/>
      <c r="K25" s="77"/>
      <c r="L25" s="77"/>
      <c r="R25" s="19" t="s">
        <v>38</v>
      </c>
      <c r="S25" s="126">
        <f>K35</f>
        <v>594463</v>
      </c>
      <c r="T25" s="123">
        <f t="shared" si="7"/>
        <v>594.46299999999997</v>
      </c>
      <c r="U25" s="124"/>
    </row>
    <row r="26" spans="2:22" x14ac:dyDescent="0.25">
      <c r="B26" s="8"/>
      <c r="C26" s="96"/>
      <c r="D26" s="96"/>
      <c r="E26" s="96"/>
      <c r="F26" s="96"/>
      <c r="G26" s="96"/>
      <c r="H26" s="77"/>
      <c r="I26" s="97" t="s">
        <v>26</v>
      </c>
      <c r="J26" s="98" t="s">
        <v>27</v>
      </c>
      <c r="K26" s="77"/>
      <c r="L26" s="77"/>
      <c r="M26" s="38" t="s">
        <v>28</v>
      </c>
      <c r="R26" s="19" t="s">
        <v>39</v>
      </c>
      <c r="S26" s="126">
        <f>K36</f>
        <v>232264</v>
      </c>
      <c r="T26" s="123">
        <f t="shared" si="7"/>
        <v>232.26400000000001</v>
      </c>
      <c r="U26" s="124"/>
    </row>
    <row r="27" spans="2:22" x14ac:dyDescent="0.25">
      <c r="B27" s="39" t="s">
        <v>29</v>
      </c>
      <c r="C27" s="78"/>
      <c r="D27" s="78"/>
      <c r="E27" s="78"/>
      <c r="F27" s="78"/>
      <c r="G27" s="78"/>
      <c r="H27" s="77"/>
      <c r="I27" s="72">
        <f>J10-I40</f>
        <v>91139</v>
      </c>
      <c r="J27" s="80">
        <f>J40*8%</f>
        <v>258717.76</v>
      </c>
      <c r="K27" s="77"/>
      <c r="L27" s="77"/>
      <c r="M27" s="40">
        <f>100-(I40/J10*100)</f>
        <v>19.541831857780906</v>
      </c>
      <c r="R27" s="19" t="s">
        <v>44</v>
      </c>
      <c r="S27" s="126">
        <f>K41</f>
        <v>434600</v>
      </c>
      <c r="T27" s="123">
        <f t="shared" si="7"/>
        <v>434.6</v>
      </c>
      <c r="U27" s="124"/>
    </row>
    <row r="28" spans="2:22" ht="15.75" thickBot="1" x14ac:dyDescent="0.3">
      <c r="B28" s="35" t="s">
        <v>30</v>
      </c>
      <c r="C28" s="94"/>
      <c r="D28" s="94"/>
      <c r="E28" s="94"/>
      <c r="F28" s="94"/>
      <c r="G28" s="94"/>
      <c r="H28" s="94"/>
      <c r="I28" s="99">
        <f>I40+I27-J10</f>
        <v>0</v>
      </c>
      <c r="J28" s="122">
        <f>J20-J27-J40</f>
        <v>-2710867.76</v>
      </c>
      <c r="K28" s="77"/>
      <c r="L28" s="77"/>
      <c r="M28" s="1" t="str">
        <f>IF(M27&gt;10,"OBS! HÖGA FÖRLUSTER","OK")</f>
        <v>OBS! HÖGA FÖRLUSTER</v>
      </c>
      <c r="R28" s="19" t="s">
        <v>112</v>
      </c>
      <c r="S28" s="58">
        <f>SUM(S22:S27)</f>
        <v>5384111</v>
      </c>
      <c r="T28" s="58">
        <f>SUM(T22:T27)</f>
        <v>5384.1109999999999</v>
      </c>
      <c r="U28" s="124"/>
    </row>
    <row r="29" spans="2:22" ht="15.75" thickBot="1" x14ac:dyDescent="0.3">
      <c r="C29" s="77"/>
      <c r="D29" s="77"/>
      <c r="E29" s="77"/>
      <c r="F29" s="77"/>
      <c r="G29" s="77"/>
      <c r="H29" s="77"/>
      <c r="I29" s="77"/>
      <c r="J29" s="77"/>
      <c r="K29" s="77"/>
      <c r="L29" s="77"/>
      <c r="R29" s="127" t="s">
        <v>113</v>
      </c>
      <c r="S29" s="128"/>
      <c r="T29" s="129">
        <f t="shared" ref="T29:T36" si="8">S29/1000</f>
        <v>0</v>
      </c>
      <c r="U29" s="48"/>
    </row>
    <row r="30" spans="2:22" ht="15.75" thickBot="1" x14ac:dyDescent="0.3">
      <c r="B30" s="8"/>
      <c r="C30" s="100" t="s">
        <v>0</v>
      </c>
      <c r="D30" s="100"/>
      <c r="E30" s="100"/>
      <c r="F30" s="100" t="s">
        <v>1</v>
      </c>
      <c r="G30" s="100"/>
      <c r="H30" s="96"/>
      <c r="I30" s="96"/>
      <c r="J30" s="96"/>
      <c r="K30" s="101"/>
      <c r="L30" s="77"/>
      <c r="R30" s="49" t="s">
        <v>114</v>
      </c>
      <c r="S30" s="50">
        <f>J27</f>
        <v>258717.76</v>
      </c>
      <c r="T30" s="130">
        <f t="shared" si="8"/>
        <v>258.71776</v>
      </c>
      <c r="U30" s="53"/>
    </row>
    <row r="31" spans="2:22" ht="30" x14ac:dyDescent="0.25">
      <c r="B31" s="41" t="s">
        <v>31</v>
      </c>
      <c r="C31" s="102" t="s">
        <v>58</v>
      </c>
      <c r="D31" s="102" t="s">
        <v>97</v>
      </c>
      <c r="E31" s="102" t="s">
        <v>56</v>
      </c>
      <c r="F31" s="103" t="s">
        <v>57</v>
      </c>
      <c r="G31" s="103" t="s">
        <v>102</v>
      </c>
      <c r="H31" s="103" t="s">
        <v>25</v>
      </c>
      <c r="I31" s="104" t="s">
        <v>32</v>
      </c>
      <c r="J31" s="104" t="s">
        <v>33</v>
      </c>
      <c r="K31" s="105" t="s">
        <v>34</v>
      </c>
      <c r="L31" s="77"/>
      <c r="R31" s="49" t="s">
        <v>115</v>
      </c>
      <c r="S31" s="50">
        <f>I27</f>
        <v>91139</v>
      </c>
      <c r="T31" s="130">
        <f t="shared" si="8"/>
        <v>91.138999999999996</v>
      </c>
      <c r="U31" s="53"/>
    </row>
    <row r="32" spans="2:22" x14ac:dyDescent="0.25">
      <c r="B32" s="19" t="s">
        <v>35</v>
      </c>
      <c r="C32" s="78">
        <v>7002</v>
      </c>
      <c r="D32" s="78">
        <v>0</v>
      </c>
      <c r="E32" s="78">
        <v>0</v>
      </c>
      <c r="F32" s="78">
        <v>626</v>
      </c>
      <c r="G32" s="78">
        <v>0</v>
      </c>
      <c r="H32" s="78">
        <v>0</v>
      </c>
      <c r="I32" s="78">
        <v>0</v>
      </c>
      <c r="J32" s="78">
        <v>6626</v>
      </c>
      <c r="K32" s="80">
        <f>SUM(C32:J32)</f>
        <v>14254</v>
      </c>
      <c r="L32" s="77"/>
      <c r="R32" s="49" t="s">
        <v>116</v>
      </c>
      <c r="S32" s="50">
        <f>K20-J20</f>
        <v>8331.3234951779013</v>
      </c>
      <c r="T32" s="130">
        <f t="shared" si="8"/>
        <v>8.3313234951779016</v>
      </c>
      <c r="U32"/>
    </row>
    <row r="33" spans="2:39" ht="17.25" x14ac:dyDescent="0.4">
      <c r="B33" s="19" t="s">
        <v>36</v>
      </c>
      <c r="C33" s="82">
        <v>500252</v>
      </c>
      <c r="D33" s="82">
        <v>100000</v>
      </c>
      <c r="E33" s="82">
        <v>572765</v>
      </c>
      <c r="F33" s="78">
        <v>185</v>
      </c>
      <c r="G33" s="82">
        <v>24521</v>
      </c>
      <c r="H33" s="78">
        <v>0</v>
      </c>
      <c r="I33" s="78">
        <v>6200</v>
      </c>
      <c r="J33" s="78">
        <v>2806120</v>
      </c>
      <c r="K33" s="80">
        <f t="shared" ref="K33:K40" si="9">SUM(C33:J33)</f>
        <v>4010043</v>
      </c>
      <c r="L33" s="77"/>
      <c r="R33" s="49" t="s">
        <v>117</v>
      </c>
      <c r="S33" s="50">
        <f>L4</f>
        <v>-32644.582999999999</v>
      </c>
      <c r="T33" s="130">
        <f t="shared" si="8"/>
        <v>-32.644582999999997</v>
      </c>
      <c r="U33" s="53"/>
    </row>
    <row r="34" spans="2:39" x14ac:dyDescent="0.25">
      <c r="B34" s="19" t="s">
        <v>37</v>
      </c>
      <c r="C34" s="78">
        <v>234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44150</v>
      </c>
      <c r="J34" s="78">
        <v>54103</v>
      </c>
      <c r="K34" s="80">
        <f t="shared" si="9"/>
        <v>98487</v>
      </c>
      <c r="L34" s="77"/>
      <c r="R34" s="49" t="s">
        <v>118</v>
      </c>
      <c r="S34" s="50">
        <f>L5</f>
        <v>-4720</v>
      </c>
      <c r="T34" s="130">
        <f t="shared" si="8"/>
        <v>-4.72</v>
      </c>
      <c r="U34" s="53"/>
    </row>
    <row r="35" spans="2:39" x14ac:dyDescent="0.25">
      <c r="B35" s="19" t="s">
        <v>38</v>
      </c>
      <c r="C35" s="78">
        <v>470371</v>
      </c>
      <c r="D35" s="78">
        <v>0</v>
      </c>
      <c r="E35" s="78">
        <v>0</v>
      </c>
      <c r="F35" s="78">
        <v>42976</v>
      </c>
      <c r="G35" s="78">
        <v>0</v>
      </c>
      <c r="H35" s="78">
        <v>0</v>
      </c>
      <c r="I35" s="78">
        <v>0</v>
      </c>
      <c r="J35" s="78">
        <v>81116</v>
      </c>
      <c r="K35" s="80">
        <f t="shared" si="9"/>
        <v>594463</v>
      </c>
      <c r="L35" s="77"/>
      <c r="R35" s="49" t="s">
        <v>119</v>
      </c>
      <c r="S35" s="50">
        <f>L15</f>
        <v>50945.492278350517</v>
      </c>
      <c r="T35" s="130">
        <f t="shared" si="8"/>
        <v>50.945492278350514</v>
      </c>
      <c r="U35" s="53"/>
    </row>
    <row r="36" spans="2:39" ht="15.75" thickBot="1" x14ac:dyDescent="0.3">
      <c r="B36" s="19" t="s">
        <v>39</v>
      </c>
      <c r="C36" s="78">
        <v>219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81710</v>
      </c>
      <c r="J36" s="78">
        <v>150335</v>
      </c>
      <c r="K36" s="80">
        <f t="shared" si="9"/>
        <v>232264</v>
      </c>
      <c r="L36" s="77"/>
      <c r="R36" s="54" t="s">
        <v>120</v>
      </c>
      <c r="S36" s="131">
        <f>L16</f>
        <v>-15411.533515463911</v>
      </c>
      <c r="T36" s="132">
        <f t="shared" si="8"/>
        <v>-15.41153351546391</v>
      </c>
    </row>
    <row r="37" spans="2:39" x14ac:dyDescent="0.25">
      <c r="B37" s="19" t="s">
        <v>40</v>
      </c>
      <c r="C37" s="78">
        <v>276</v>
      </c>
      <c r="D37" s="78">
        <v>0</v>
      </c>
      <c r="E37" s="78">
        <v>0</v>
      </c>
      <c r="F37" s="78">
        <v>0</v>
      </c>
      <c r="G37" s="78">
        <v>55472</v>
      </c>
      <c r="H37" s="78">
        <v>0</v>
      </c>
      <c r="I37" s="78">
        <v>98440</v>
      </c>
      <c r="J37" s="78">
        <v>91860</v>
      </c>
      <c r="K37" s="80">
        <f t="shared" si="9"/>
        <v>246048</v>
      </c>
      <c r="L37" s="77"/>
      <c r="R37" s="125" t="s">
        <v>121</v>
      </c>
      <c r="S37" s="133">
        <f>SUM(S30:S36)</f>
        <v>356357.45925806451</v>
      </c>
      <c r="T37" s="134">
        <f>SUM(T30:T36)</f>
        <v>356.35745925806447</v>
      </c>
      <c r="U37"/>
    </row>
    <row r="38" spans="2:39" x14ac:dyDescent="0.25">
      <c r="B38" s="19" t="s">
        <v>41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144740</v>
      </c>
      <c r="J38" s="78">
        <v>35373</v>
      </c>
      <c r="K38" s="80">
        <f t="shared" si="9"/>
        <v>180113</v>
      </c>
      <c r="L38" s="108"/>
      <c r="N38" s="6"/>
      <c r="O38" s="6"/>
      <c r="P38" s="6"/>
      <c r="Q38" s="6"/>
      <c r="R38" s="125" t="s">
        <v>122</v>
      </c>
      <c r="S38"/>
      <c r="T38" s="58">
        <f>T28+T37+T21</f>
        <v>5740.4684592580643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2:39" x14ac:dyDescent="0.25">
      <c r="B39" s="19" t="s">
        <v>42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8439</v>
      </c>
      <c r="K39" s="80">
        <f t="shared" si="9"/>
        <v>8439</v>
      </c>
      <c r="L39" s="77"/>
      <c r="R39" s="1" t="s">
        <v>123</v>
      </c>
      <c r="S39"/>
      <c r="T39" s="135">
        <f>T19-T38</f>
        <v>91.368041237114085</v>
      </c>
      <c r="U39" s="136"/>
    </row>
    <row r="40" spans="2:39" ht="17.25" x14ac:dyDescent="0.4">
      <c r="B40" s="19" t="s">
        <v>43</v>
      </c>
      <c r="C40" s="75">
        <f>SUM(C32:C39)</f>
        <v>978354</v>
      </c>
      <c r="D40" s="75">
        <f t="shared" ref="D40:J40" si="10">SUM(D32:D39)</f>
        <v>100000</v>
      </c>
      <c r="E40" s="75">
        <f t="shared" si="10"/>
        <v>572765</v>
      </c>
      <c r="F40" s="72">
        <f t="shared" si="10"/>
        <v>43787</v>
      </c>
      <c r="G40" s="75">
        <f t="shared" si="10"/>
        <v>79993</v>
      </c>
      <c r="H40" s="72">
        <f t="shared" si="10"/>
        <v>0</v>
      </c>
      <c r="I40" s="72">
        <f t="shared" si="10"/>
        <v>375240</v>
      </c>
      <c r="J40" s="72">
        <f t="shared" si="10"/>
        <v>3233972</v>
      </c>
      <c r="K40" s="80">
        <f t="shared" si="9"/>
        <v>5384111</v>
      </c>
      <c r="L40" s="77"/>
    </row>
    <row r="41" spans="2:39" x14ac:dyDescent="0.25">
      <c r="B41" s="19" t="s">
        <v>44</v>
      </c>
      <c r="C41" s="72">
        <f>SUM(C37:C39)</f>
        <v>276</v>
      </c>
      <c r="D41" s="72">
        <f t="shared" ref="D41:K41" si="11">SUM(D37:D39)</f>
        <v>0</v>
      </c>
      <c r="E41" s="72">
        <f t="shared" si="11"/>
        <v>0</v>
      </c>
      <c r="F41" s="72">
        <f t="shared" si="11"/>
        <v>0</v>
      </c>
      <c r="G41" s="72">
        <f t="shared" si="11"/>
        <v>55472</v>
      </c>
      <c r="H41" s="72">
        <f t="shared" si="11"/>
        <v>0</v>
      </c>
      <c r="I41" s="72">
        <f t="shared" si="11"/>
        <v>243180</v>
      </c>
      <c r="J41" s="72">
        <f t="shared" si="11"/>
        <v>135672</v>
      </c>
      <c r="K41" s="72">
        <f t="shared" si="11"/>
        <v>434600</v>
      </c>
      <c r="L41" s="77"/>
    </row>
    <row r="42" spans="2:39" x14ac:dyDescent="0.25">
      <c r="B42" s="24"/>
      <c r="C42" s="20"/>
      <c r="D42" s="20"/>
      <c r="E42" s="20"/>
      <c r="F42" s="20"/>
      <c r="G42" s="20"/>
      <c r="H42" s="20"/>
      <c r="I42" s="20"/>
      <c r="J42" s="20"/>
      <c r="K42" s="25"/>
      <c r="L42" s="34"/>
    </row>
    <row r="43" spans="2:39" ht="15.75" thickBot="1" x14ac:dyDescent="0.3">
      <c r="B43" s="43"/>
      <c r="C43" s="36"/>
      <c r="D43" s="36"/>
      <c r="E43" s="36"/>
      <c r="F43" s="36"/>
      <c r="G43" s="36"/>
      <c r="H43" s="36"/>
      <c r="I43" s="36"/>
      <c r="J43" s="36"/>
      <c r="K43" s="37"/>
      <c r="L43" s="34"/>
    </row>
    <row r="44" spans="2:39" x14ac:dyDescent="0.25"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39" x14ac:dyDescent="0.25"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2:39" x14ac:dyDescent="0.25"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2:39" x14ac:dyDescent="0.25"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2:39" x14ac:dyDescent="0.25"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3:12" x14ac:dyDescent="0.25"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3:12" x14ac:dyDescent="0.25"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3:12" x14ac:dyDescent="0.25">
      <c r="C51" s="34"/>
      <c r="D51" s="34"/>
      <c r="E51" s="34"/>
      <c r="F51" s="34"/>
      <c r="G51" s="34"/>
      <c r="H51" s="34"/>
      <c r="I51" s="34"/>
      <c r="J51" s="34"/>
      <c r="K51" s="34"/>
      <c r="L51" s="34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8"/>
  <sheetViews>
    <sheetView zoomScale="70" zoomScaleNormal="70" workbookViewId="0">
      <selection activeCell="L20" sqref="L20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6.42578125" style="1" bestFit="1" customWidth="1"/>
    <col min="4" max="4" width="9.28515625" style="1" bestFit="1" customWidth="1"/>
    <col min="5" max="5" width="13.85546875" style="1" bestFit="1" customWidth="1"/>
    <col min="6" max="6" width="15" style="1" bestFit="1" customWidth="1"/>
    <col min="7" max="7" width="16.42578125" style="1" bestFit="1" customWidth="1"/>
    <col min="8" max="8" width="13.85546875" style="1" bestFit="1" customWidth="1"/>
    <col min="9" max="9" width="27.140625" style="1" customWidth="1"/>
    <col min="10" max="10" width="17.7109375" style="1" customWidth="1"/>
    <col min="11" max="11" width="20.42578125" style="1" customWidth="1"/>
    <col min="12" max="12" width="21.85546875" style="1" customWidth="1"/>
    <col min="13" max="13" width="25.5703125" style="1" customWidth="1"/>
    <col min="14" max="14" width="9.140625" style="1"/>
    <col min="15" max="15" width="10.7109375" style="1" bestFit="1" customWidth="1"/>
    <col min="16" max="17" width="9.140625" style="1"/>
    <col min="18" max="18" width="36" style="1" bestFit="1" customWidth="1"/>
    <col min="19" max="19" width="14.85546875" style="1" bestFit="1" customWidth="1"/>
    <col min="20" max="20" width="10.7109375" style="1" bestFit="1" customWidth="1"/>
    <col min="21" max="16384" width="9.140625" style="1"/>
  </cols>
  <sheetData>
    <row r="1" spans="2:22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4"/>
      <c r="I1" s="5" t="s">
        <v>2</v>
      </c>
      <c r="J1" s="5" t="s">
        <v>3</v>
      </c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1"/>
    </row>
    <row r="2" spans="2:22" s="7" customFormat="1" ht="60" x14ac:dyDescent="0.25">
      <c r="B2" s="8"/>
      <c r="C2" s="9" t="s">
        <v>58</v>
      </c>
      <c r="D2" s="9" t="s">
        <v>53</v>
      </c>
      <c r="E2" s="9" t="s">
        <v>56</v>
      </c>
      <c r="F2" s="10" t="s">
        <v>57</v>
      </c>
      <c r="G2" s="10" t="s">
        <v>102</v>
      </c>
      <c r="H2" s="10" t="s">
        <v>25</v>
      </c>
      <c r="I2" s="11" t="s">
        <v>4</v>
      </c>
      <c r="J2" s="11" t="s">
        <v>5</v>
      </c>
      <c r="L2" s="12" t="s">
        <v>6</v>
      </c>
      <c r="M2" s="13"/>
      <c r="N2" s="6"/>
      <c r="O2" s="6"/>
      <c r="P2" s="6"/>
      <c r="Q2" s="6"/>
      <c r="R2" s="6"/>
      <c r="S2" s="6"/>
      <c r="T2" s="6"/>
      <c r="U2" s="6"/>
      <c r="V2" s="1"/>
    </row>
    <row r="3" spans="2:22" s="7" customFormat="1" x14ac:dyDescent="0.25">
      <c r="B3" s="14" t="s">
        <v>7</v>
      </c>
      <c r="C3" s="15"/>
      <c r="D3" s="15"/>
      <c r="E3" s="15"/>
      <c r="F3" s="15"/>
      <c r="G3" s="15"/>
      <c r="H3" s="15"/>
      <c r="I3" s="16"/>
      <c r="J3" s="16"/>
      <c r="K3" s="17"/>
      <c r="L3" s="18"/>
      <c r="M3" s="1"/>
      <c r="N3" s="6"/>
      <c r="O3" s="6"/>
      <c r="P3" s="6"/>
      <c r="Q3" s="6"/>
      <c r="T3" s="7" t="s">
        <v>48</v>
      </c>
      <c r="V3" s="1"/>
    </row>
    <row r="4" spans="2:22" s="7" customFormat="1" ht="17.25" x14ac:dyDescent="0.4">
      <c r="B4" s="19" t="s">
        <v>8</v>
      </c>
      <c r="C4" s="77">
        <v>0</v>
      </c>
      <c r="D4" s="81">
        <v>0</v>
      </c>
      <c r="E4" s="77">
        <v>0</v>
      </c>
      <c r="F4" s="77">
        <v>0</v>
      </c>
      <c r="G4" s="81">
        <v>309677</v>
      </c>
      <c r="H4" s="77">
        <v>1843</v>
      </c>
      <c r="I4" s="77">
        <f>SUM(C4:H4)</f>
        <v>311520</v>
      </c>
      <c r="J4" s="78">
        <v>278072</v>
      </c>
      <c r="K4" s="137">
        <f>J4/(J4+J5)</f>
        <v>0.87751708032882592</v>
      </c>
      <c r="L4" s="80">
        <f>I4-J4</f>
        <v>33448</v>
      </c>
      <c r="M4" s="1"/>
      <c r="N4" s="6"/>
      <c r="O4" s="6"/>
      <c r="P4" s="6"/>
      <c r="Q4" s="6"/>
      <c r="R4" s="49" t="s">
        <v>103</v>
      </c>
      <c r="S4" s="21">
        <f>K20</f>
        <v>211511.34594945126</v>
      </c>
      <c r="T4" s="123">
        <f>S4/1000</f>
        <v>211.51134594945125</v>
      </c>
      <c r="U4" s="124"/>
      <c r="V4" s="1"/>
    </row>
    <row r="5" spans="2:22" s="7" customFormat="1" x14ac:dyDescent="0.25">
      <c r="B5" s="19" t="s">
        <v>9</v>
      </c>
      <c r="C5" s="77">
        <v>5373</v>
      </c>
      <c r="D5" s="77">
        <v>0</v>
      </c>
      <c r="E5" s="77">
        <v>4323</v>
      </c>
      <c r="F5" s="77">
        <v>0</v>
      </c>
      <c r="G5" s="77">
        <v>33475</v>
      </c>
      <c r="H5" s="77">
        <v>685</v>
      </c>
      <c r="I5" s="77">
        <f t="shared" ref="I5:I10" si="0">SUM(C5:H5)</f>
        <v>43856</v>
      </c>
      <c r="J5" s="78">
        <v>38813</v>
      </c>
      <c r="K5" s="137">
        <f>J5/(J4+J5)</f>
        <v>0.12248291967117408</v>
      </c>
      <c r="L5" s="80">
        <f>I5-J5</f>
        <v>5043</v>
      </c>
      <c r="M5" s="1"/>
      <c r="N5" s="6"/>
      <c r="O5" s="6"/>
      <c r="P5" s="6"/>
      <c r="Q5" s="6"/>
      <c r="R5" s="7" t="s">
        <v>104</v>
      </c>
      <c r="S5" s="21">
        <f>IF(J28&gt;0,0,J28)*-1</f>
        <v>577703</v>
      </c>
      <c r="T5" s="123">
        <f>S5/1000</f>
        <v>577.70299999999997</v>
      </c>
      <c r="V5" s="1"/>
    </row>
    <row r="6" spans="2:22" s="7" customFormat="1" x14ac:dyDescent="0.25">
      <c r="B6" s="19" t="s">
        <v>10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f t="shared" si="0"/>
        <v>0</v>
      </c>
      <c r="J6" s="78">
        <v>0</v>
      </c>
      <c r="K6" s="79"/>
      <c r="L6" s="80"/>
      <c r="M6" s="1"/>
      <c r="N6" s="6"/>
      <c r="O6" s="6"/>
      <c r="P6" s="6"/>
      <c r="Q6" s="6"/>
      <c r="R6" s="49" t="s">
        <v>50</v>
      </c>
      <c r="S6" s="123">
        <f>G10+G20+G40</f>
        <v>827620.88</v>
      </c>
      <c r="T6" s="123">
        <f>S6/1000</f>
        <v>827.62088000000006</v>
      </c>
      <c r="U6" s="124"/>
      <c r="V6" s="1"/>
    </row>
    <row r="7" spans="2:22" s="7" customFormat="1" x14ac:dyDescent="0.25">
      <c r="B7" s="19" t="s">
        <v>11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f t="shared" si="0"/>
        <v>0</v>
      </c>
      <c r="J7" s="78">
        <v>0</v>
      </c>
      <c r="K7" s="79"/>
      <c r="L7" s="80"/>
      <c r="M7" s="1"/>
      <c r="N7" s="6"/>
      <c r="O7" s="6"/>
      <c r="P7" s="6"/>
      <c r="Q7" s="6"/>
      <c r="R7" s="49" t="s">
        <v>53</v>
      </c>
      <c r="S7" s="123">
        <f>D10+D20</f>
        <v>0</v>
      </c>
      <c r="T7" s="123">
        <f t="shared" ref="T7:T14" si="1">S7/1000</f>
        <v>0</v>
      </c>
      <c r="U7" s="124"/>
      <c r="V7" s="1"/>
    </row>
    <row r="8" spans="2:22" s="7" customFormat="1" x14ac:dyDescent="0.25">
      <c r="B8" s="19" t="s">
        <v>12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f t="shared" si="0"/>
        <v>0</v>
      </c>
      <c r="J8" s="78">
        <v>0</v>
      </c>
      <c r="K8" s="79"/>
      <c r="L8" s="80"/>
      <c r="M8" s="1"/>
      <c r="N8" s="6"/>
      <c r="O8" s="6"/>
      <c r="P8" s="6"/>
      <c r="Q8" s="6"/>
      <c r="S8" s="123"/>
      <c r="T8" s="123">
        <f t="shared" si="1"/>
        <v>0</v>
      </c>
      <c r="U8" s="124"/>
      <c r="V8" s="1"/>
    </row>
    <row r="9" spans="2:22" s="7" customFormat="1" x14ac:dyDescent="0.25">
      <c r="B9" s="19" t="s">
        <v>13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f t="shared" si="0"/>
        <v>0</v>
      </c>
      <c r="J9" s="78">
        <v>80292</v>
      </c>
      <c r="K9" s="79"/>
      <c r="L9" s="80"/>
      <c r="M9" s="1"/>
      <c r="N9" s="6"/>
      <c r="O9" s="6"/>
      <c r="P9" s="6"/>
      <c r="Q9" s="6"/>
      <c r="R9" s="125" t="s">
        <v>105</v>
      </c>
      <c r="S9" s="123"/>
      <c r="T9" s="123">
        <f t="shared" si="1"/>
        <v>0</v>
      </c>
      <c r="U9" s="124"/>
      <c r="V9" s="1"/>
    </row>
    <row r="10" spans="2:22" s="7" customFormat="1" ht="17.25" x14ac:dyDescent="0.4">
      <c r="B10" s="19" t="s">
        <v>14</v>
      </c>
      <c r="C10" s="78">
        <f t="shared" ref="C10:J10" si="2">SUM(C4:C9)</f>
        <v>5373</v>
      </c>
      <c r="D10" s="82">
        <f t="shared" si="2"/>
        <v>0</v>
      </c>
      <c r="E10" s="78">
        <f t="shared" si="2"/>
        <v>4323</v>
      </c>
      <c r="F10" s="78">
        <f t="shared" si="2"/>
        <v>0</v>
      </c>
      <c r="G10" s="82">
        <f t="shared" si="2"/>
        <v>343152</v>
      </c>
      <c r="H10" s="78">
        <f t="shared" si="2"/>
        <v>2528</v>
      </c>
      <c r="I10" s="77">
        <f t="shared" si="0"/>
        <v>355376</v>
      </c>
      <c r="J10" s="78">
        <f t="shared" si="2"/>
        <v>397177</v>
      </c>
      <c r="K10" s="79"/>
      <c r="L10" s="80">
        <f>SUM(L4:L9)</f>
        <v>38491</v>
      </c>
      <c r="M10" s="1"/>
      <c r="N10" s="6"/>
      <c r="O10" s="6"/>
      <c r="P10" s="6"/>
      <c r="Q10" s="6"/>
      <c r="R10" s="49" t="s">
        <v>55</v>
      </c>
      <c r="S10" s="123"/>
      <c r="T10" s="123">
        <f t="shared" si="1"/>
        <v>0</v>
      </c>
      <c r="U10" s="124"/>
      <c r="V10" s="1"/>
    </row>
    <row r="11" spans="2:22" s="7" customFormat="1" x14ac:dyDescent="0.25">
      <c r="B11" s="22"/>
      <c r="C11" s="83"/>
      <c r="D11" s="83"/>
      <c r="E11" s="83"/>
      <c r="F11" s="83"/>
      <c r="G11" s="83"/>
      <c r="H11" s="83"/>
      <c r="I11" s="83"/>
      <c r="J11" s="83"/>
      <c r="K11" s="84"/>
      <c r="L11" s="85"/>
      <c r="M11" s="1"/>
      <c r="N11" s="6"/>
      <c r="O11" s="6"/>
      <c r="P11" s="6"/>
      <c r="Q11" s="6"/>
      <c r="R11" s="49" t="s">
        <v>56</v>
      </c>
      <c r="S11" s="123">
        <f>E10+E20+E40</f>
        <v>4323</v>
      </c>
      <c r="T11" s="123">
        <f t="shared" si="1"/>
        <v>4.3230000000000004</v>
      </c>
      <c r="U11" s="124"/>
      <c r="V11" s="1"/>
    </row>
    <row r="12" spans="2:22" s="7" customFormat="1" x14ac:dyDescent="0.25">
      <c r="B12" s="23" t="s">
        <v>15</v>
      </c>
      <c r="C12" s="83"/>
      <c r="D12" s="83"/>
      <c r="E12" s="83"/>
      <c r="F12" s="83"/>
      <c r="G12" s="83"/>
      <c r="H12" s="83"/>
      <c r="I12" s="79"/>
      <c r="J12" s="79">
        <v>2995</v>
      </c>
      <c r="K12" s="84"/>
      <c r="L12" s="85"/>
      <c r="M12" s="1"/>
      <c r="N12" s="6"/>
      <c r="O12" s="6"/>
      <c r="P12" s="6"/>
      <c r="Q12" s="6"/>
      <c r="R12" s="49" t="s">
        <v>25</v>
      </c>
      <c r="S12" s="123">
        <f>H10+H20+H40</f>
        <v>2528</v>
      </c>
      <c r="T12" s="123">
        <f t="shared" si="1"/>
        <v>2.528</v>
      </c>
      <c r="U12" s="124"/>
      <c r="V12" s="1"/>
    </row>
    <row r="13" spans="2:22" x14ac:dyDescent="0.25">
      <c r="B13" s="24"/>
      <c r="C13" s="78"/>
      <c r="D13" s="78"/>
      <c r="E13" s="78"/>
      <c r="F13" s="78"/>
      <c r="G13" s="78"/>
      <c r="H13" s="78"/>
      <c r="I13" s="78"/>
      <c r="J13" s="78"/>
      <c r="K13" s="78"/>
      <c r="L13" s="86"/>
      <c r="M13" s="6"/>
      <c r="R13" s="49" t="s">
        <v>57</v>
      </c>
      <c r="S13" s="123">
        <f>F10+F20+F40</f>
        <v>67516</v>
      </c>
      <c r="T13" s="123">
        <f t="shared" si="1"/>
        <v>67.516000000000005</v>
      </c>
      <c r="U13" s="124"/>
    </row>
    <row r="14" spans="2:22" ht="18.75" x14ac:dyDescent="0.3">
      <c r="B14" s="26" t="s">
        <v>16</v>
      </c>
      <c r="C14" s="87"/>
      <c r="D14" s="87"/>
      <c r="E14" s="87"/>
      <c r="F14" s="87"/>
      <c r="G14" s="87"/>
      <c r="H14" s="87"/>
      <c r="I14" s="115"/>
      <c r="J14" s="88" t="s">
        <v>17</v>
      </c>
      <c r="K14" s="89" t="s">
        <v>18</v>
      </c>
      <c r="L14" s="90"/>
      <c r="M14" s="27" t="s">
        <v>19</v>
      </c>
      <c r="N14" s="28"/>
      <c r="R14" s="49" t="s">
        <v>58</v>
      </c>
      <c r="S14" s="123">
        <f>C10+C20+C40</f>
        <v>701715.55799999996</v>
      </c>
      <c r="T14" s="123">
        <f t="shared" si="1"/>
        <v>701.71555799999999</v>
      </c>
      <c r="U14" s="124"/>
    </row>
    <row r="15" spans="2:22" x14ac:dyDescent="0.25">
      <c r="B15" s="19" t="s">
        <v>20</v>
      </c>
      <c r="C15" s="173">
        <v>323.55799999999999</v>
      </c>
      <c r="D15" s="173">
        <v>0</v>
      </c>
      <c r="E15" s="78">
        <v>0</v>
      </c>
      <c r="F15" s="78">
        <v>0</v>
      </c>
      <c r="G15" s="78">
        <v>114478.88</v>
      </c>
      <c r="H15" s="78">
        <v>0</v>
      </c>
      <c r="I15" s="78">
        <f>SUM(C15:H15)</f>
        <v>114802.43800000001</v>
      </c>
      <c r="J15" s="173">
        <v>76633</v>
      </c>
      <c r="K15" s="91">
        <f>J15/(1-M15)</f>
        <v>79003.092783505155</v>
      </c>
      <c r="L15" s="92">
        <f>I15-K15</f>
        <v>35799.345216494854</v>
      </c>
      <c r="M15" s="29">
        <v>0.03</v>
      </c>
      <c r="O15" s="30"/>
      <c r="R15" s="125" t="s">
        <v>106</v>
      </c>
      <c r="S15" s="123">
        <f>SUM(S4:S14)</f>
        <v>2392917.7839494515</v>
      </c>
      <c r="T15" s="123">
        <f>SUM(T4:T14)</f>
        <v>2392.9177839494514</v>
      </c>
      <c r="U15" s="124"/>
    </row>
    <row r="16" spans="2:22" x14ac:dyDescent="0.25">
      <c r="B16" s="19" t="s">
        <v>21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f t="shared" ref="I16:I20" si="3">SUM(C16:H16)</f>
        <v>0</v>
      </c>
      <c r="J16" s="78">
        <v>30519.640000000014</v>
      </c>
      <c r="K16" s="91">
        <f>J16/(1-M16)</f>
        <v>31463.546391752592</v>
      </c>
      <c r="L16" s="92">
        <f>I16-K16</f>
        <v>-31463.546391752592</v>
      </c>
      <c r="M16" s="29">
        <v>0.03</v>
      </c>
      <c r="O16" s="30"/>
      <c r="R16" t="s">
        <v>107</v>
      </c>
      <c r="S16" s="57">
        <f>J8</f>
        <v>0</v>
      </c>
      <c r="T16" s="57">
        <f>S16/1000</f>
        <v>0</v>
      </c>
      <c r="U16" s="124"/>
    </row>
    <row r="17" spans="2:22" x14ac:dyDescent="0.25">
      <c r="B17" s="19" t="s">
        <v>22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f t="shared" si="3"/>
        <v>0</v>
      </c>
      <c r="J17" s="78">
        <v>0</v>
      </c>
      <c r="K17" s="91">
        <f>J17/(1-M17)</f>
        <v>0</v>
      </c>
      <c r="L17" s="92"/>
      <c r="M17" s="29">
        <v>0.03</v>
      </c>
      <c r="O17" s="30"/>
      <c r="R17" t="s">
        <v>108</v>
      </c>
      <c r="S17" s="57">
        <f>J9</f>
        <v>80292</v>
      </c>
      <c r="T17" s="57">
        <f t="shared" ref="T17:T18" si="4">S17/1000</f>
        <v>80.292000000000002</v>
      </c>
      <c r="U17" s="124"/>
      <c r="V17" s="6"/>
    </row>
    <row r="18" spans="2:22" x14ac:dyDescent="0.25">
      <c r="B18" s="19" t="s">
        <v>23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f t="shared" si="3"/>
        <v>0</v>
      </c>
      <c r="J18" s="78">
        <v>58323</v>
      </c>
      <c r="K18" s="91">
        <f>J18/(1-M18)</f>
        <v>58793.346774193546</v>
      </c>
      <c r="L18" s="92"/>
      <c r="M18" s="31">
        <v>8.0000000000000002E-3</v>
      </c>
      <c r="O18" s="30"/>
      <c r="R18" t="s">
        <v>109</v>
      </c>
      <c r="S18" s="57">
        <f>J6+J7</f>
        <v>0</v>
      </c>
      <c r="T18" s="57">
        <f t="shared" si="4"/>
        <v>0</v>
      </c>
      <c r="U18"/>
    </row>
    <row r="19" spans="2:22" x14ac:dyDescent="0.25">
      <c r="B19" s="19" t="s">
        <v>24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f t="shared" si="3"/>
        <v>0</v>
      </c>
      <c r="J19" s="173">
        <v>42251.360000000001</v>
      </c>
      <c r="K19" s="91">
        <f>J19/(1-M19)</f>
        <v>42251.360000000001</v>
      </c>
      <c r="L19" s="92"/>
      <c r="M19" s="1">
        <v>0</v>
      </c>
      <c r="O19" s="30"/>
      <c r="R19" t="s">
        <v>110</v>
      </c>
      <c r="S19" s="57">
        <f>SUM(S15:S18)</f>
        <v>2473209.7839494515</v>
      </c>
      <c r="T19" s="57">
        <f>SUM(T15:T18)</f>
        <v>2473.2097839494513</v>
      </c>
      <c r="U19"/>
    </row>
    <row r="20" spans="2:22" x14ac:dyDescent="0.25">
      <c r="B20" s="19" t="s">
        <v>14</v>
      </c>
      <c r="C20" s="78">
        <f t="shared" ref="C20:H20" si="5">SUM(C15:C19)</f>
        <v>323.55799999999999</v>
      </c>
      <c r="D20" s="78">
        <f t="shared" si="5"/>
        <v>0</v>
      </c>
      <c r="E20" s="78">
        <f t="shared" si="5"/>
        <v>0</v>
      </c>
      <c r="F20" s="78">
        <f t="shared" si="5"/>
        <v>0</v>
      </c>
      <c r="G20" s="78">
        <f t="shared" si="5"/>
        <v>114478.88</v>
      </c>
      <c r="H20" s="78">
        <f t="shared" si="5"/>
        <v>0</v>
      </c>
      <c r="I20" s="78">
        <f t="shared" si="3"/>
        <v>114802.43800000001</v>
      </c>
      <c r="J20" s="78">
        <f>SUM(J15:J19)</f>
        <v>207727</v>
      </c>
      <c r="K20" s="93">
        <f>SUM(K15:K19)</f>
        <v>211511.34594945126</v>
      </c>
      <c r="L20" s="93">
        <f>SUM(L15:L19)</f>
        <v>4335.7988247422618</v>
      </c>
      <c r="M20" s="32"/>
      <c r="N20" s="33"/>
      <c r="O20" s="30"/>
      <c r="R20"/>
      <c r="S20"/>
      <c r="T20"/>
      <c r="U20"/>
    </row>
    <row r="21" spans="2:22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7"/>
      <c r="L21" s="86"/>
      <c r="M21" s="30"/>
      <c r="R21" s="19" t="s">
        <v>111</v>
      </c>
      <c r="S21" s="21">
        <f>IF(J28&lt;0,0,J28)</f>
        <v>0</v>
      </c>
      <c r="T21" s="123">
        <f t="shared" ref="T21:T27" si="6">S21/1000</f>
        <v>0</v>
      </c>
      <c r="U21" s="124"/>
    </row>
    <row r="22" spans="2:22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86"/>
      <c r="R22" s="19" t="s">
        <v>35</v>
      </c>
      <c r="S22" s="126">
        <f>K32</f>
        <v>8958</v>
      </c>
      <c r="T22" s="123">
        <f t="shared" si="6"/>
        <v>8.9580000000000002</v>
      </c>
      <c r="U22" s="124"/>
    </row>
    <row r="23" spans="2:22" ht="15.75" thickBot="1" x14ac:dyDescent="0.3">
      <c r="B23" s="35" t="s">
        <v>25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R23" s="19" t="s">
        <v>36</v>
      </c>
      <c r="S23" s="126">
        <f>K33</f>
        <v>580453</v>
      </c>
      <c r="T23" s="123">
        <f t="shared" si="6"/>
        <v>580.45299999999997</v>
      </c>
      <c r="U23" s="124"/>
    </row>
    <row r="24" spans="2:22" x14ac:dyDescent="0.25">
      <c r="C24" s="77"/>
      <c r="D24" s="77"/>
      <c r="E24" s="77"/>
      <c r="F24" s="77"/>
      <c r="G24" s="77"/>
      <c r="H24" s="77"/>
      <c r="I24" s="77"/>
      <c r="J24" s="77"/>
      <c r="K24" s="77"/>
      <c r="L24" s="77"/>
      <c r="R24" s="19" t="s">
        <v>37</v>
      </c>
      <c r="S24" s="126">
        <f>K34</f>
        <v>126285</v>
      </c>
      <c r="T24" s="123">
        <f t="shared" si="6"/>
        <v>126.285</v>
      </c>
      <c r="U24" s="124"/>
    </row>
    <row r="25" spans="2:22" ht="15.75" thickBot="1" x14ac:dyDescent="0.3">
      <c r="C25" s="77"/>
      <c r="D25" s="77"/>
      <c r="E25" s="77"/>
      <c r="F25" s="77"/>
      <c r="G25" s="77"/>
      <c r="H25" s="77"/>
      <c r="I25" s="77"/>
      <c r="J25" s="77"/>
      <c r="K25" s="77"/>
      <c r="L25" s="77"/>
      <c r="R25" s="19" t="s">
        <v>38</v>
      </c>
      <c r="S25" s="126">
        <f>K35</f>
        <v>699409</v>
      </c>
      <c r="T25" s="123">
        <f t="shared" si="6"/>
        <v>699.40899999999999</v>
      </c>
      <c r="U25" s="124"/>
    </row>
    <row r="26" spans="2:22" x14ac:dyDescent="0.25">
      <c r="B26" s="8"/>
      <c r="C26" s="96"/>
      <c r="D26" s="96"/>
      <c r="E26" s="96"/>
      <c r="F26" s="96"/>
      <c r="G26" s="96"/>
      <c r="H26" s="77"/>
      <c r="I26" s="97" t="s">
        <v>26</v>
      </c>
      <c r="J26" s="98" t="s">
        <v>27</v>
      </c>
      <c r="K26" s="77"/>
      <c r="L26" s="77"/>
      <c r="M26" s="38" t="s">
        <v>28</v>
      </c>
      <c r="R26" s="19" t="s">
        <v>39</v>
      </c>
      <c r="S26" s="126">
        <f>K36</f>
        <v>244016</v>
      </c>
      <c r="T26" s="123">
        <f t="shared" si="6"/>
        <v>244.01599999999999</v>
      </c>
      <c r="U26" s="124"/>
    </row>
    <row r="27" spans="2:22" x14ac:dyDescent="0.25">
      <c r="B27" s="39" t="s">
        <v>29</v>
      </c>
      <c r="C27" s="78"/>
      <c r="D27" s="78"/>
      <c r="E27" s="78"/>
      <c r="F27" s="78"/>
      <c r="G27" s="78"/>
      <c r="H27" s="77"/>
      <c r="I27" s="72">
        <f>J10-I40</f>
        <v>85351</v>
      </c>
      <c r="J27" s="80">
        <f>J40*8%</f>
        <v>58180</v>
      </c>
      <c r="K27" s="77"/>
      <c r="L27" s="77"/>
      <c r="M27" s="40">
        <f>100-(I40/J10*100)</f>
        <v>21.489411521815214</v>
      </c>
      <c r="R27" s="19" t="s">
        <v>44</v>
      </c>
      <c r="S27" s="126">
        <f>K41</f>
        <v>513480</v>
      </c>
      <c r="T27" s="123">
        <f t="shared" si="6"/>
        <v>513.48</v>
      </c>
      <c r="U27" s="124"/>
    </row>
    <row r="28" spans="2:22" ht="15.75" thickBot="1" x14ac:dyDescent="0.3">
      <c r="B28" s="35" t="s">
        <v>30</v>
      </c>
      <c r="C28" s="94"/>
      <c r="D28" s="94"/>
      <c r="E28" s="94"/>
      <c r="F28" s="94"/>
      <c r="G28" s="94"/>
      <c r="H28" s="94"/>
      <c r="I28" s="99">
        <f>I40+I27-J10</f>
        <v>0</v>
      </c>
      <c r="J28" s="122">
        <f>J20-J27-J40</f>
        <v>-577703</v>
      </c>
      <c r="K28" s="77"/>
      <c r="L28" s="77"/>
      <c r="M28" s="1" t="str">
        <f>IF(M27&gt;10,"OBS! HÖGA FÖRLUSTER","OK")</f>
        <v>OBS! HÖGA FÖRLUSTER</v>
      </c>
      <c r="R28" s="19" t="s">
        <v>112</v>
      </c>
      <c r="S28" s="58">
        <f>SUM(S22:S27)</f>
        <v>2172601</v>
      </c>
      <c r="T28" s="58">
        <f>SUM(T22:T27)</f>
        <v>2172.6010000000001</v>
      </c>
      <c r="U28" s="124"/>
    </row>
    <row r="29" spans="2:22" ht="15.75" thickBot="1" x14ac:dyDescent="0.3">
      <c r="C29" s="77"/>
      <c r="D29" s="77"/>
      <c r="E29" s="77"/>
      <c r="F29" s="77"/>
      <c r="G29" s="77"/>
      <c r="H29" s="77"/>
      <c r="I29" s="77"/>
      <c r="J29" s="77"/>
      <c r="K29" s="77"/>
      <c r="L29" s="77"/>
      <c r="R29" s="127" t="s">
        <v>113</v>
      </c>
      <c r="S29" s="128"/>
      <c r="T29" s="129">
        <f t="shared" ref="T29:T36" si="7">S29/1000</f>
        <v>0</v>
      </c>
      <c r="U29" s="48"/>
    </row>
    <row r="30" spans="2:22" ht="15.75" thickBot="1" x14ac:dyDescent="0.3">
      <c r="B30" s="8"/>
      <c r="C30" s="100" t="s">
        <v>0</v>
      </c>
      <c r="D30" s="100"/>
      <c r="E30" s="100"/>
      <c r="F30" s="100" t="s">
        <v>1</v>
      </c>
      <c r="G30" s="100"/>
      <c r="H30" s="96"/>
      <c r="I30" s="96"/>
      <c r="J30" s="96"/>
      <c r="K30" s="101"/>
      <c r="L30" s="77"/>
      <c r="R30" s="49" t="s">
        <v>114</v>
      </c>
      <c r="S30" s="50">
        <f>J27</f>
        <v>58180</v>
      </c>
      <c r="T30" s="130">
        <f t="shared" si="7"/>
        <v>58.18</v>
      </c>
      <c r="U30" s="53"/>
    </row>
    <row r="31" spans="2:22" ht="30" x14ac:dyDescent="0.25">
      <c r="B31" s="41" t="s">
        <v>31</v>
      </c>
      <c r="C31" s="102" t="s">
        <v>58</v>
      </c>
      <c r="D31" s="102" t="s">
        <v>97</v>
      </c>
      <c r="E31" s="102" t="s">
        <v>56</v>
      </c>
      <c r="F31" s="103" t="s">
        <v>57</v>
      </c>
      <c r="G31" s="103" t="s">
        <v>102</v>
      </c>
      <c r="H31" s="103" t="s">
        <v>25</v>
      </c>
      <c r="I31" s="104" t="s">
        <v>32</v>
      </c>
      <c r="J31" s="104" t="s">
        <v>33</v>
      </c>
      <c r="K31" s="105" t="s">
        <v>34</v>
      </c>
      <c r="L31" s="77"/>
      <c r="R31" s="49" t="s">
        <v>115</v>
      </c>
      <c r="S31" s="50">
        <f>I27</f>
        <v>85351</v>
      </c>
      <c r="T31" s="130">
        <f t="shared" si="7"/>
        <v>85.350999999999999</v>
      </c>
      <c r="U31" s="53"/>
    </row>
    <row r="32" spans="2:22" x14ac:dyDescent="0.25">
      <c r="B32" s="19" t="s">
        <v>35</v>
      </c>
      <c r="C32" s="78">
        <v>6910</v>
      </c>
      <c r="D32" s="78">
        <v>0</v>
      </c>
      <c r="E32" s="78">
        <v>0</v>
      </c>
      <c r="F32" s="78">
        <v>728</v>
      </c>
      <c r="G32" s="78">
        <v>0</v>
      </c>
      <c r="H32" s="78">
        <v>0</v>
      </c>
      <c r="I32" s="78">
        <v>0</v>
      </c>
      <c r="J32" s="78">
        <v>1320</v>
      </c>
      <c r="K32" s="80">
        <f>SUM(C32:J32)</f>
        <v>8958</v>
      </c>
      <c r="L32" s="77"/>
      <c r="R32" s="49" t="s">
        <v>116</v>
      </c>
      <c r="S32" s="50">
        <f>K20-J20</f>
        <v>3784.3459494512645</v>
      </c>
      <c r="T32" s="130">
        <f t="shared" si="7"/>
        <v>3.7843459494512643</v>
      </c>
      <c r="U32"/>
    </row>
    <row r="33" spans="2:39" x14ac:dyDescent="0.25">
      <c r="B33" s="19" t="s">
        <v>36</v>
      </c>
      <c r="C33" s="78">
        <v>8457</v>
      </c>
      <c r="D33" s="78">
        <v>0</v>
      </c>
      <c r="E33" s="78">
        <v>0</v>
      </c>
      <c r="F33" s="78">
        <v>3286</v>
      </c>
      <c r="G33" s="106">
        <v>282959</v>
      </c>
      <c r="H33" s="78">
        <v>0</v>
      </c>
      <c r="I33" s="78">
        <v>26599</v>
      </c>
      <c r="J33" s="78">
        <v>259152</v>
      </c>
      <c r="K33" s="175">
        <f t="shared" ref="K33:K40" si="8">SUM(C33:J33)</f>
        <v>580453</v>
      </c>
      <c r="L33" s="77"/>
      <c r="R33" s="49" t="s">
        <v>117</v>
      </c>
      <c r="S33" s="50">
        <f>L4</f>
        <v>33448</v>
      </c>
      <c r="T33" s="130">
        <f t="shared" si="7"/>
        <v>33.448</v>
      </c>
      <c r="U33" s="53"/>
    </row>
    <row r="34" spans="2:39" x14ac:dyDescent="0.25">
      <c r="B34" s="19" t="s">
        <v>37</v>
      </c>
      <c r="C34" s="78">
        <v>1948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52079</v>
      </c>
      <c r="J34" s="78">
        <v>72258</v>
      </c>
      <c r="K34" s="80">
        <f t="shared" si="8"/>
        <v>126285</v>
      </c>
      <c r="L34" s="77"/>
      <c r="R34" s="49" t="s">
        <v>118</v>
      </c>
      <c r="S34" s="50">
        <f>L5</f>
        <v>5043</v>
      </c>
      <c r="T34" s="130">
        <f t="shared" si="7"/>
        <v>5.0430000000000001</v>
      </c>
      <c r="U34" s="53"/>
    </row>
    <row r="35" spans="2:39" x14ac:dyDescent="0.25">
      <c r="B35" s="19" t="s">
        <v>38</v>
      </c>
      <c r="C35" s="78">
        <v>634470</v>
      </c>
      <c r="D35" s="78">
        <v>0</v>
      </c>
      <c r="E35" s="78">
        <v>0</v>
      </c>
      <c r="F35" s="78">
        <v>63502</v>
      </c>
      <c r="G35" s="78">
        <v>0</v>
      </c>
      <c r="H35" s="78">
        <v>0</v>
      </c>
      <c r="I35" s="78">
        <v>0</v>
      </c>
      <c r="J35" s="78">
        <v>1437</v>
      </c>
      <c r="K35" s="80">
        <f t="shared" si="8"/>
        <v>699409</v>
      </c>
      <c r="L35" s="77"/>
      <c r="R35" s="49" t="s">
        <v>119</v>
      </c>
      <c r="S35" s="50">
        <f>L15</f>
        <v>35799.345216494854</v>
      </c>
      <c r="T35" s="130">
        <f t="shared" si="7"/>
        <v>35.799345216494856</v>
      </c>
      <c r="U35" s="53"/>
    </row>
    <row r="36" spans="2:39" ht="15.75" thickBot="1" x14ac:dyDescent="0.3">
      <c r="B36" s="19" t="s">
        <v>39</v>
      </c>
      <c r="C36" s="78">
        <v>42725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53716</v>
      </c>
      <c r="J36" s="78">
        <v>147575</v>
      </c>
      <c r="K36" s="80">
        <f t="shared" si="8"/>
        <v>244016</v>
      </c>
      <c r="L36" s="77"/>
      <c r="R36" s="54" t="s">
        <v>120</v>
      </c>
      <c r="S36" s="131">
        <f>L16</f>
        <v>-31463.546391752592</v>
      </c>
      <c r="T36" s="132">
        <f t="shared" si="7"/>
        <v>-31.463546391752594</v>
      </c>
    </row>
    <row r="37" spans="2:39" x14ac:dyDescent="0.25">
      <c r="B37" s="19" t="s">
        <v>40</v>
      </c>
      <c r="C37" s="78">
        <v>1487</v>
      </c>
      <c r="D37" s="78">
        <v>0</v>
      </c>
      <c r="E37" s="78">
        <v>0</v>
      </c>
      <c r="F37" s="78">
        <v>0</v>
      </c>
      <c r="G37" s="106">
        <v>87031</v>
      </c>
      <c r="H37" s="78">
        <v>0</v>
      </c>
      <c r="I37" s="78">
        <v>37651</v>
      </c>
      <c r="J37" s="78">
        <v>206144</v>
      </c>
      <c r="K37" s="175">
        <f t="shared" si="8"/>
        <v>332313</v>
      </c>
      <c r="L37" s="77"/>
      <c r="R37" s="125" t="s">
        <v>121</v>
      </c>
      <c r="S37" s="133">
        <f>SUM(S30:S36)</f>
        <v>190142.14477419353</v>
      </c>
      <c r="T37" s="134">
        <f>SUM(T30:T36)</f>
        <v>190.14214477419355</v>
      </c>
      <c r="U37"/>
    </row>
    <row r="38" spans="2:39" x14ac:dyDescent="0.25">
      <c r="B38" s="19" t="s">
        <v>41</v>
      </c>
      <c r="C38" s="78">
        <v>22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141781</v>
      </c>
      <c r="J38" s="78">
        <v>24954</v>
      </c>
      <c r="K38" s="80">
        <f t="shared" si="8"/>
        <v>166757</v>
      </c>
      <c r="L38" s="108"/>
      <c r="N38" s="6"/>
      <c r="O38" s="6"/>
      <c r="P38" s="6"/>
      <c r="Q38" s="6"/>
      <c r="R38" s="125" t="s">
        <v>122</v>
      </c>
      <c r="S38"/>
      <c r="T38" s="58">
        <f>T28+T37+T21</f>
        <v>2362.7431447741938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2:39" x14ac:dyDescent="0.25">
      <c r="B39" s="19" t="s">
        <v>42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14410</v>
      </c>
      <c r="K39" s="80">
        <f t="shared" si="8"/>
        <v>14410</v>
      </c>
      <c r="L39" s="77"/>
      <c r="R39" s="1" t="s">
        <v>123</v>
      </c>
      <c r="S39"/>
      <c r="T39" s="135">
        <f>T19-T38</f>
        <v>110.46663917525757</v>
      </c>
      <c r="U39" s="136"/>
    </row>
    <row r="40" spans="2:39" x14ac:dyDescent="0.25">
      <c r="B40" s="19" t="s">
        <v>43</v>
      </c>
      <c r="C40" s="72">
        <f>SUM(C32:C39)</f>
        <v>696019</v>
      </c>
      <c r="D40" s="72">
        <f t="shared" ref="D40:J40" si="9">SUM(D32:D39)</f>
        <v>0</v>
      </c>
      <c r="E40" s="72">
        <f t="shared" si="9"/>
        <v>0</v>
      </c>
      <c r="F40" s="72">
        <f t="shared" si="9"/>
        <v>67516</v>
      </c>
      <c r="G40" s="72">
        <f t="shared" si="9"/>
        <v>369990</v>
      </c>
      <c r="H40" s="72">
        <f t="shared" si="9"/>
        <v>0</v>
      </c>
      <c r="I40" s="72">
        <f t="shared" si="9"/>
        <v>311826</v>
      </c>
      <c r="J40" s="72">
        <f t="shared" si="9"/>
        <v>727250</v>
      </c>
      <c r="K40" s="80">
        <f t="shared" si="8"/>
        <v>2172601</v>
      </c>
      <c r="L40" s="77"/>
    </row>
    <row r="41" spans="2:39" x14ac:dyDescent="0.25">
      <c r="B41" s="19" t="s">
        <v>44</v>
      </c>
      <c r="C41" s="72">
        <f>SUM(C37:C39)</f>
        <v>1509</v>
      </c>
      <c r="D41" s="72">
        <f t="shared" ref="D41:K41" si="10">SUM(D37:D39)</f>
        <v>0</v>
      </c>
      <c r="E41" s="72">
        <f t="shared" si="10"/>
        <v>0</v>
      </c>
      <c r="F41" s="72">
        <f t="shared" si="10"/>
        <v>0</v>
      </c>
      <c r="G41" s="72">
        <f t="shared" si="10"/>
        <v>87031</v>
      </c>
      <c r="H41" s="72">
        <f t="shared" si="10"/>
        <v>0</v>
      </c>
      <c r="I41" s="72">
        <f t="shared" si="10"/>
        <v>179432</v>
      </c>
      <c r="J41" s="72">
        <f t="shared" si="10"/>
        <v>245508</v>
      </c>
      <c r="K41" s="72">
        <f t="shared" si="10"/>
        <v>513480</v>
      </c>
      <c r="L41" s="77"/>
    </row>
    <row r="42" spans="2:39" x14ac:dyDescent="0.25">
      <c r="B42" s="24"/>
      <c r="C42" s="65"/>
      <c r="D42" s="65"/>
      <c r="E42" s="65"/>
      <c r="F42" s="65"/>
      <c r="G42" s="65"/>
      <c r="H42" s="65"/>
      <c r="I42" s="65"/>
      <c r="J42" s="65"/>
      <c r="K42" s="66"/>
      <c r="L42" s="67"/>
    </row>
    <row r="43" spans="2:39" ht="15.75" thickBot="1" x14ac:dyDescent="0.3">
      <c r="B43" s="43"/>
      <c r="C43" s="44"/>
      <c r="D43" s="44"/>
      <c r="E43" s="44"/>
      <c r="F43" s="44"/>
      <c r="G43" s="44"/>
      <c r="H43" s="44"/>
      <c r="I43" s="44"/>
      <c r="J43" s="44"/>
      <c r="K43" s="45"/>
    </row>
    <row r="47" spans="2:39" x14ac:dyDescent="0.25">
      <c r="F47" s="1" t="s">
        <v>99</v>
      </c>
    </row>
    <row r="48" spans="2:39" x14ac:dyDescent="0.25">
      <c r="F48" s="1" t="s">
        <v>98</v>
      </c>
      <c r="G48" s="1" t="s">
        <v>100</v>
      </c>
      <c r="H48" s="30">
        <f>F33</f>
        <v>3286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3"/>
  <sheetViews>
    <sheetView zoomScale="70" zoomScaleNormal="70" workbookViewId="0">
      <selection activeCell="J28" sqref="J28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5.85546875" style="1" bestFit="1" customWidth="1"/>
    <col min="4" max="5" width="9.28515625" style="1" bestFit="1" customWidth="1"/>
    <col min="6" max="6" width="13.85546875" style="1" bestFit="1" customWidth="1"/>
    <col min="7" max="7" width="15" style="1" bestFit="1" customWidth="1"/>
    <col min="8" max="8" width="9.28515625" style="1" bestFit="1" customWidth="1"/>
    <col min="9" max="9" width="27.140625" style="1" customWidth="1"/>
    <col min="10" max="10" width="17.7109375" style="1" customWidth="1"/>
    <col min="11" max="11" width="20.42578125" style="1" customWidth="1"/>
    <col min="12" max="12" width="21.85546875" style="1" customWidth="1"/>
    <col min="13" max="13" width="25.5703125" style="1" customWidth="1"/>
    <col min="14" max="14" width="9.140625" style="1"/>
    <col min="15" max="15" width="10.7109375" style="1" bestFit="1" customWidth="1"/>
    <col min="16" max="17" width="9.140625" style="1"/>
    <col min="18" max="18" width="36" style="1" bestFit="1" customWidth="1"/>
    <col min="19" max="19" width="13.140625" style="1" bestFit="1" customWidth="1"/>
    <col min="20" max="16384" width="9.140625" style="1"/>
  </cols>
  <sheetData>
    <row r="1" spans="2:22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4"/>
      <c r="I1" s="5" t="s">
        <v>2</v>
      </c>
      <c r="J1" s="5" t="s">
        <v>3</v>
      </c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1"/>
    </row>
    <row r="2" spans="2:22" s="7" customFormat="1" ht="60" x14ac:dyDescent="0.25">
      <c r="B2" s="8"/>
      <c r="C2" s="9" t="s">
        <v>58</v>
      </c>
      <c r="D2" s="9" t="s">
        <v>53</v>
      </c>
      <c r="E2" s="9" t="s">
        <v>56</v>
      </c>
      <c r="F2" s="10" t="s">
        <v>57</v>
      </c>
      <c r="G2" s="10" t="s">
        <v>102</v>
      </c>
      <c r="H2" s="10" t="s">
        <v>25</v>
      </c>
      <c r="I2" s="11" t="s">
        <v>4</v>
      </c>
      <c r="J2" s="11" t="s">
        <v>5</v>
      </c>
      <c r="L2" s="12" t="s">
        <v>6</v>
      </c>
      <c r="M2" s="13"/>
      <c r="N2" s="6"/>
      <c r="O2" s="6"/>
      <c r="P2" s="6"/>
      <c r="Q2" s="6"/>
      <c r="R2" s="6"/>
      <c r="S2" s="6"/>
      <c r="T2" s="6"/>
      <c r="U2" s="6"/>
      <c r="V2" s="1"/>
    </row>
    <row r="3" spans="2:22" s="7" customFormat="1" x14ac:dyDescent="0.25">
      <c r="B3" s="14" t="s">
        <v>7</v>
      </c>
      <c r="C3" s="15"/>
      <c r="D3" s="15"/>
      <c r="E3" s="15"/>
      <c r="F3" s="15"/>
      <c r="G3" s="15"/>
      <c r="H3" s="15"/>
      <c r="I3" s="16"/>
      <c r="J3" s="16"/>
      <c r="K3" s="17"/>
      <c r="L3" s="18"/>
      <c r="M3" s="1"/>
      <c r="N3" s="6"/>
      <c r="O3" s="6"/>
      <c r="P3" s="6"/>
      <c r="Q3" s="6"/>
      <c r="T3" s="7" t="s">
        <v>48</v>
      </c>
      <c r="V3" s="1"/>
    </row>
    <row r="4" spans="2:22" s="7" customFormat="1" x14ac:dyDescent="0.25">
      <c r="B4" s="19" t="s">
        <v>8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8">
        <v>0</v>
      </c>
      <c r="K4" s="79"/>
      <c r="L4" s="80">
        <f>H4-J4</f>
        <v>0</v>
      </c>
      <c r="M4" s="1"/>
      <c r="N4" s="6"/>
      <c r="O4" s="6"/>
      <c r="P4" s="6"/>
      <c r="Q4" s="6"/>
      <c r="R4" s="49" t="s">
        <v>103</v>
      </c>
      <c r="S4" s="21">
        <f>K20</f>
        <v>115494.95967741935</v>
      </c>
      <c r="T4" s="123">
        <f>S4/1000</f>
        <v>115.49495967741935</v>
      </c>
      <c r="U4" s="124"/>
      <c r="V4" s="1"/>
    </row>
    <row r="5" spans="2:22" s="7" customFormat="1" x14ac:dyDescent="0.25">
      <c r="B5" s="19" t="s">
        <v>9</v>
      </c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8">
        <v>0</v>
      </c>
      <c r="K5" s="79"/>
      <c r="L5" s="80">
        <f>I5-J5</f>
        <v>0</v>
      </c>
      <c r="M5" s="1"/>
      <c r="N5" s="6"/>
      <c r="O5" s="6"/>
      <c r="P5" s="6"/>
      <c r="Q5" s="6"/>
      <c r="R5" s="7" t="s">
        <v>104</v>
      </c>
      <c r="S5" s="21">
        <f>IF(J28&gt;0,0,J28)*-1</f>
        <v>0</v>
      </c>
      <c r="T5" s="123">
        <f>S5/1000</f>
        <v>0</v>
      </c>
      <c r="V5" s="1"/>
    </row>
    <row r="6" spans="2:22" s="7" customFormat="1" x14ac:dyDescent="0.25">
      <c r="B6" s="19" t="s">
        <v>10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8">
        <v>0</v>
      </c>
      <c r="K6" s="79"/>
      <c r="L6" s="80"/>
      <c r="M6" s="1"/>
      <c r="N6" s="6"/>
      <c r="O6" s="6"/>
      <c r="P6" s="6"/>
      <c r="Q6" s="6"/>
      <c r="R6" s="49" t="s">
        <v>50</v>
      </c>
      <c r="S6" s="123">
        <f>G10+G20+G40</f>
        <v>96809.5</v>
      </c>
      <c r="T6" s="123">
        <f>S6/1000</f>
        <v>96.8095</v>
      </c>
      <c r="U6" s="124"/>
      <c r="V6" s="1"/>
    </row>
    <row r="7" spans="2:22" s="7" customFormat="1" x14ac:dyDescent="0.25">
      <c r="B7" s="19" t="s">
        <v>11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8">
        <v>0</v>
      </c>
      <c r="K7" s="79"/>
      <c r="L7" s="80"/>
      <c r="M7" s="1"/>
      <c r="N7" s="6"/>
      <c r="O7" s="6"/>
      <c r="P7" s="6"/>
      <c r="Q7" s="6"/>
      <c r="R7" s="49" t="s">
        <v>53</v>
      </c>
      <c r="S7" s="123">
        <f>D10+D20</f>
        <v>0</v>
      </c>
      <c r="T7" s="123">
        <f t="shared" ref="T7:T14" si="0">S7/1000</f>
        <v>0</v>
      </c>
      <c r="U7" s="124"/>
      <c r="V7" s="1"/>
    </row>
    <row r="8" spans="2:22" s="7" customFormat="1" x14ac:dyDescent="0.25">
      <c r="B8" s="19" t="s">
        <v>12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8">
        <v>0</v>
      </c>
      <c r="K8" s="79"/>
      <c r="L8" s="80"/>
      <c r="M8" s="1"/>
      <c r="N8" s="6"/>
      <c r="O8" s="6"/>
      <c r="P8" s="6"/>
      <c r="Q8" s="6"/>
      <c r="S8" s="123"/>
      <c r="T8" s="123">
        <f t="shared" si="0"/>
        <v>0</v>
      </c>
      <c r="U8" s="124"/>
      <c r="V8" s="1"/>
    </row>
    <row r="9" spans="2:22" s="7" customFormat="1" x14ac:dyDescent="0.25">
      <c r="B9" s="19" t="s">
        <v>13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8">
        <v>0</v>
      </c>
      <c r="K9" s="79"/>
      <c r="L9" s="80"/>
      <c r="M9" s="1"/>
      <c r="N9" s="6"/>
      <c r="O9" s="6"/>
      <c r="P9" s="6"/>
      <c r="Q9" s="6"/>
      <c r="R9" s="125" t="s">
        <v>105</v>
      </c>
      <c r="S9" s="123"/>
      <c r="T9" s="123">
        <f t="shared" si="0"/>
        <v>0</v>
      </c>
      <c r="U9" s="124"/>
      <c r="V9" s="1"/>
    </row>
    <row r="10" spans="2:22" s="7" customFormat="1" x14ac:dyDescent="0.25">
      <c r="B10" s="19" t="s">
        <v>14</v>
      </c>
      <c r="C10" s="78">
        <f>SUM(C4:C9)</f>
        <v>0</v>
      </c>
      <c r="D10" s="78">
        <f t="shared" ref="D10:J10" si="1">SUM(D4:D9)</f>
        <v>0</v>
      </c>
      <c r="E10" s="78">
        <f t="shared" si="1"/>
        <v>0</v>
      </c>
      <c r="F10" s="78">
        <f t="shared" si="1"/>
        <v>0</v>
      </c>
      <c r="G10" s="78">
        <f t="shared" si="1"/>
        <v>0</v>
      </c>
      <c r="H10" s="78">
        <f t="shared" si="1"/>
        <v>0</v>
      </c>
      <c r="I10" s="78">
        <f t="shared" si="1"/>
        <v>0</v>
      </c>
      <c r="J10" s="78">
        <f t="shared" si="1"/>
        <v>0</v>
      </c>
      <c r="K10" s="79"/>
      <c r="L10" s="80">
        <f>SUM(L4:L9)</f>
        <v>0</v>
      </c>
      <c r="M10" s="1"/>
      <c r="N10" s="6"/>
      <c r="O10" s="6"/>
      <c r="P10" s="6"/>
      <c r="Q10" s="6"/>
      <c r="R10" s="49" t="s">
        <v>55</v>
      </c>
      <c r="S10" s="123"/>
      <c r="T10" s="123">
        <f t="shared" si="0"/>
        <v>0</v>
      </c>
      <c r="U10" s="124"/>
      <c r="V10" s="1"/>
    </row>
    <row r="11" spans="2:22" s="7" customFormat="1" x14ac:dyDescent="0.25">
      <c r="B11" s="22"/>
      <c r="C11" s="83"/>
      <c r="D11" s="83"/>
      <c r="E11" s="83"/>
      <c r="F11" s="83"/>
      <c r="G11" s="83"/>
      <c r="H11" s="83"/>
      <c r="I11" s="83"/>
      <c r="J11" s="83"/>
      <c r="K11" s="84"/>
      <c r="L11" s="85"/>
      <c r="M11" s="1"/>
      <c r="N11" s="6"/>
      <c r="O11" s="6"/>
      <c r="P11" s="6"/>
      <c r="Q11" s="6"/>
      <c r="R11" s="49" t="s">
        <v>56</v>
      </c>
      <c r="S11" s="123">
        <f>E10+E20+E40</f>
        <v>0</v>
      </c>
      <c r="T11" s="123">
        <f t="shared" si="0"/>
        <v>0</v>
      </c>
      <c r="U11" s="124"/>
      <c r="V11" s="1"/>
    </row>
    <row r="12" spans="2:22" s="7" customFormat="1" x14ac:dyDescent="0.25">
      <c r="B12" s="23" t="s">
        <v>15</v>
      </c>
      <c r="C12" s="83"/>
      <c r="D12" s="83"/>
      <c r="E12" s="83"/>
      <c r="F12" s="83"/>
      <c r="G12" s="83"/>
      <c r="H12" s="83"/>
      <c r="I12" s="79"/>
      <c r="J12" s="79"/>
      <c r="K12" s="84"/>
      <c r="L12" s="85"/>
      <c r="M12" s="1"/>
      <c r="N12" s="6"/>
      <c r="O12" s="6"/>
      <c r="P12" s="6"/>
      <c r="Q12" s="6"/>
      <c r="R12" s="49" t="s">
        <v>25</v>
      </c>
      <c r="S12" s="123">
        <f>H10+H20+H40</f>
        <v>0</v>
      </c>
      <c r="T12" s="123">
        <f t="shared" si="0"/>
        <v>0</v>
      </c>
      <c r="U12" s="124"/>
      <c r="V12" s="1"/>
    </row>
    <row r="13" spans="2:22" x14ac:dyDescent="0.25">
      <c r="B13" s="24"/>
      <c r="C13" s="78"/>
      <c r="D13" s="78"/>
      <c r="E13" s="78"/>
      <c r="F13" s="78"/>
      <c r="G13" s="78"/>
      <c r="H13" s="78"/>
      <c r="I13" s="78"/>
      <c r="J13" s="78"/>
      <c r="K13" s="78"/>
      <c r="L13" s="86"/>
      <c r="M13" s="6"/>
      <c r="R13" s="49" t="s">
        <v>57</v>
      </c>
      <c r="S13" s="123">
        <f>F10+F20+F40</f>
        <v>8680</v>
      </c>
      <c r="T13" s="123">
        <f t="shared" si="0"/>
        <v>8.68</v>
      </c>
      <c r="U13" s="124"/>
    </row>
    <row r="14" spans="2:22" ht="18.75" x14ac:dyDescent="0.3">
      <c r="B14" s="26" t="s">
        <v>16</v>
      </c>
      <c r="C14" s="87"/>
      <c r="D14" s="87"/>
      <c r="E14" s="87"/>
      <c r="F14" s="87"/>
      <c r="G14" s="87"/>
      <c r="H14" s="87"/>
      <c r="I14" s="87"/>
      <c r="J14" s="88" t="s">
        <v>17</v>
      </c>
      <c r="K14" s="89" t="s">
        <v>18</v>
      </c>
      <c r="L14" s="90"/>
      <c r="M14" s="27" t="s">
        <v>19</v>
      </c>
      <c r="N14" s="28"/>
      <c r="R14" s="49" t="s">
        <v>58</v>
      </c>
      <c r="S14" s="123">
        <f>C10+C20+C40</f>
        <v>100629.5</v>
      </c>
      <c r="T14" s="123">
        <f t="shared" si="0"/>
        <v>100.62949999999999</v>
      </c>
      <c r="U14" s="124"/>
    </row>
    <row r="15" spans="2:22" x14ac:dyDescent="0.25">
      <c r="B15" s="19" t="s">
        <v>20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91">
        <f>J15/(1-M15)</f>
        <v>0</v>
      </c>
      <c r="L15" s="92">
        <f>I15-K15</f>
        <v>0</v>
      </c>
      <c r="M15" s="29">
        <v>0.03</v>
      </c>
      <c r="O15" s="30"/>
      <c r="R15" s="125" t="s">
        <v>106</v>
      </c>
      <c r="S15" s="123">
        <f>SUM(S4:S14)</f>
        <v>321613.95967741933</v>
      </c>
      <c r="T15" s="123">
        <f>SUM(T4:T14)</f>
        <v>321.61395967741936</v>
      </c>
      <c r="U15" s="124"/>
    </row>
    <row r="16" spans="2:22" x14ac:dyDescent="0.25">
      <c r="B16" s="19" t="s">
        <v>21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91">
        <f>J16/(1-M16)</f>
        <v>0</v>
      </c>
      <c r="L16" s="92">
        <f>I16-K16</f>
        <v>0</v>
      </c>
      <c r="M16" s="29">
        <v>0.03</v>
      </c>
      <c r="O16" s="30"/>
      <c r="R16" t="s">
        <v>107</v>
      </c>
      <c r="S16" s="57">
        <f>J8</f>
        <v>0</v>
      </c>
      <c r="T16" s="57">
        <f>S16/1000</f>
        <v>0</v>
      </c>
      <c r="U16" s="124"/>
    </row>
    <row r="17" spans="2:22" x14ac:dyDescent="0.25">
      <c r="B17" s="19" t="s">
        <v>22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91">
        <f>J17/(1-M17)</f>
        <v>0</v>
      </c>
      <c r="L17" s="92">
        <f>I17-K17</f>
        <v>0</v>
      </c>
      <c r="M17" s="29">
        <v>0.03</v>
      </c>
      <c r="O17" s="30"/>
      <c r="R17" t="s">
        <v>108</v>
      </c>
      <c r="S17" s="57">
        <f>J9</f>
        <v>0</v>
      </c>
      <c r="T17" s="57">
        <f t="shared" ref="T17:T18" si="2">S17/1000</f>
        <v>0</v>
      </c>
      <c r="U17" s="124"/>
      <c r="V17" s="6"/>
    </row>
    <row r="18" spans="2:22" x14ac:dyDescent="0.25">
      <c r="B18" s="19" t="s">
        <v>23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114571</v>
      </c>
      <c r="K18" s="91">
        <f>J18/(1-M18)</f>
        <v>115494.95967741935</v>
      </c>
      <c r="L18" s="92"/>
      <c r="M18" s="31">
        <v>8.0000000000000002E-3</v>
      </c>
      <c r="O18" s="30"/>
      <c r="R18" t="s">
        <v>109</v>
      </c>
      <c r="S18" s="57">
        <f>J6+J7</f>
        <v>0</v>
      </c>
      <c r="T18" s="57">
        <f t="shared" si="2"/>
        <v>0</v>
      </c>
      <c r="U18"/>
    </row>
    <row r="19" spans="2:22" x14ac:dyDescent="0.25">
      <c r="B19" s="19" t="s">
        <v>24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91">
        <f>J19/(1-M19)</f>
        <v>0</v>
      </c>
      <c r="L19" s="92"/>
      <c r="M19" s="1">
        <v>0</v>
      </c>
      <c r="O19" s="30"/>
      <c r="R19" t="s">
        <v>110</v>
      </c>
      <c r="S19" s="57">
        <f>SUM(S15:S18)</f>
        <v>321613.95967741933</v>
      </c>
      <c r="T19" s="57">
        <f>SUM(T15:T18)</f>
        <v>321.61395967741936</v>
      </c>
      <c r="U19"/>
    </row>
    <row r="20" spans="2:22" x14ac:dyDescent="0.25">
      <c r="B20" s="19" t="s">
        <v>14</v>
      </c>
      <c r="C20" s="78">
        <f t="shared" ref="C20:I20" si="3">SUM(C15:C19)</f>
        <v>0</v>
      </c>
      <c r="D20" s="78">
        <f t="shared" si="3"/>
        <v>0</v>
      </c>
      <c r="E20" s="78">
        <f t="shared" si="3"/>
        <v>0</v>
      </c>
      <c r="F20" s="78">
        <f t="shared" si="3"/>
        <v>0</v>
      </c>
      <c r="G20" s="78">
        <f t="shared" si="3"/>
        <v>0</v>
      </c>
      <c r="H20" s="78">
        <f t="shared" si="3"/>
        <v>0</v>
      </c>
      <c r="I20" s="78">
        <f t="shared" si="3"/>
        <v>0</v>
      </c>
      <c r="J20" s="78">
        <f>SUM(J15:J19)</f>
        <v>114571</v>
      </c>
      <c r="K20" s="93">
        <f>SUM(K15:K19)</f>
        <v>115494.95967741935</v>
      </c>
      <c r="L20" s="93">
        <f>SUM(L15:L19)</f>
        <v>0</v>
      </c>
      <c r="M20" s="32"/>
      <c r="N20" s="33"/>
      <c r="O20" s="30"/>
      <c r="R20"/>
      <c r="S20"/>
      <c r="T20"/>
      <c r="U20"/>
    </row>
    <row r="21" spans="2:22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7"/>
      <c r="L21" s="86"/>
      <c r="M21" s="30"/>
      <c r="R21" s="19" t="s">
        <v>111</v>
      </c>
      <c r="S21" s="21">
        <f>IF(J28&lt;0,0,J28)</f>
        <v>3808.3600000000006</v>
      </c>
      <c r="T21" s="123">
        <f t="shared" ref="T21:T27" si="4">S21/1000</f>
        <v>3.8083600000000004</v>
      </c>
      <c r="U21" s="124"/>
    </row>
    <row r="22" spans="2:22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86"/>
      <c r="R22" s="19" t="s">
        <v>35</v>
      </c>
      <c r="S22" s="126">
        <f>K32</f>
        <v>5351</v>
      </c>
      <c r="T22" s="123">
        <f t="shared" si="4"/>
        <v>5.351</v>
      </c>
      <c r="U22" s="124"/>
    </row>
    <row r="23" spans="2:22" ht="15.75" thickBot="1" x14ac:dyDescent="0.3">
      <c r="B23" s="35" t="s">
        <v>25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R23" s="19" t="s">
        <v>36</v>
      </c>
      <c r="S23" s="126">
        <f>K33</f>
        <v>79338</v>
      </c>
      <c r="T23" s="123">
        <f t="shared" si="4"/>
        <v>79.337999999999994</v>
      </c>
      <c r="U23" s="124"/>
    </row>
    <row r="24" spans="2:22" x14ac:dyDescent="0.25">
      <c r="C24" s="77"/>
      <c r="D24" s="77"/>
      <c r="E24" s="77"/>
      <c r="F24" s="77"/>
      <c r="G24" s="77"/>
      <c r="H24" s="77"/>
      <c r="I24" s="77"/>
      <c r="J24" s="77"/>
      <c r="K24" s="77"/>
      <c r="L24" s="77"/>
      <c r="R24" s="19" t="s">
        <v>37</v>
      </c>
      <c r="S24" s="126">
        <f>K34</f>
        <v>8047</v>
      </c>
      <c r="T24" s="123">
        <f t="shared" si="4"/>
        <v>8.0470000000000006</v>
      </c>
      <c r="U24" s="124"/>
    </row>
    <row r="25" spans="2:22" ht="15.75" thickBot="1" x14ac:dyDescent="0.3">
      <c r="C25" s="77"/>
      <c r="D25" s="77"/>
      <c r="E25" s="77"/>
      <c r="F25" s="77"/>
      <c r="G25" s="77"/>
      <c r="H25" s="77"/>
      <c r="I25" s="77"/>
      <c r="J25" s="77"/>
      <c r="K25" s="77"/>
      <c r="L25" s="77"/>
      <c r="R25" s="19" t="s">
        <v>38</v>
      </c>
      <c r="S25" s="126">
        <f>K35</f>
        <v>101551</v>
      </c>
      <c r="T25" s="123">
        <f t="shared" si="4"/>
        <v>101.551</v>
      </c>
      <c r="U25" s="124"/>
    </row>
    <row r="26" spans="2:22" x14ac:dyDescent="0.25">
      <c r="B26" s="8"/>
      <c r="C26" s="96"/>
      <c r="D26" s="96"/>
      <c r="E26" s="96"/>
      <c r="F26" s="96"/>
      <c r="G26" s="96"/>
      <c r="H26" s="77"/>
      <c r="I26" s="97" t="s">
        <v>26</v>
      </c>
      <c r="J26" s="98" t="s">
        <v>27</v>
      </c>
      <c r="K26" s="77"/>
      <c r="L26" s="77"/>
      <c r="M26" s="38" t="s">
        <v>28</v>
      </c>
      <c r="R26" s="19" t="s">
        <v>39</v>
      </c>
      <c r="S26" s="126">
        <f>K36</f>
        <v>11577</v>
      </c>
      <c r="T26" s="123">
        <f t="shared" si="4"/>
        <v>11.577</v>
      </c>
      <c r="U26" s="124"/>
    </row>
    <row r="27" spans="2:22" x14ac:dyDescent="0.25">
      <c r="B27" s="39" t="s">
        <v>29</v>
      </c>
      <c r="C27" s="78"/>
      <c r="D27" s="78"/>
      <c r="E27" s="78"/>
      <c r="F27" s="78"/>
      <c r="G27" s="78"/>
      <c r="H27" s="77"/>
      <c r="I27" s="72">
        <f>J10-I40</f>
        <v>0</v>
      </c>
      <c r="J27" s="80">
        <f>J40*8%</f>
        <v>8204.64</v>
      </c>
      <c r="K27" s="77"/>
      <c r="L27" s="77"/>
      <c r="M27" s="40" t="e">
        <f>100-(I40/J10*100)</f>
        <v>#DIV/0!</v>
      </c>
      <c r="R27" s="19" t="s">
        <v>44</v>
      </c>
      <c r="S27" s="126">
        <f>K41</f>
        <v>102813</v>
      </c>
      <c r="T27" s="123">
        <f t="shared" si="4"/>
        <v>102.813</v>
      </c>
      <c r="U27" s="124"/>
    </row>
    <row r="28" spans="2:22" ht="15.75" thickBot="1" x14ac:dyDescent="0.3">
      <c r="B28" s="35" t="s">
        <v>30</v>
      </c>
      <c r="C28" s="94"/>
      <c r="D28" s="94"/>
      <c r="E28" s="94"/>
      <c r="F28" s="94"/>
      <c r="G28" s="94"/>
      <c r="H28" s="94"/>
      <c r="I28" s="99">
        <f>I40+I27-J10</f>
        <v>0</v>
      </c>
      <c r="J28" s="122">
        <f>J20-J27-J40</f>
        <v>3808.3600000000006</v>
      </c>
      <c r="K28" s="77"/>
      <c r="L28" s="77"/>
      <c r="M28" s="1" t="e">
        <f>IF(M27&gt;10,"OBS! HÖGA FÖRLUSTER","OK")</f>
        <v>#DIV/0!</v>
      </c>
      <c r="R28" s="19" t="s">
        <v>112</v>
      </c>
      <c r="S28" s="58">
        <f>SUM(S22:S27)</f>
        <v>308677</v>
      </c>
      <c r="T28" s="58">
        <f>SUM(T22:T27)</f>
        <v>308.67699999999996</v>
      </c>
      <c r="U28" s="124"/>
    </row>
    <row r="29" spans="2:22" ht="15.75" thickBot="1" x14ac:dyDescent="0.3">
      <c r="C29" s="77"/>
      <c r="D29" s="77"/>
      <c r="E29" s="77"/>
      <c r="F29" s="77"/>
      <c r="G29" s="77"/>
      <c r="H29" s="77"/>
      <c r="I29" s="77"/>
      <c r="J29" s="77"/>
      <c r="K29" s="77"/>
      <c r="L29" s="77"/>
      <c r="R29" s="127" t="s">
        <v>113</v>
      </c>
      <c r="S29" s="128"/>
      <c r="T29" s="129">
        <f t="shared" ref="T29:T36" si="5">S29/1000</f>
        <v>0</v>
      </c>
      <c r="U29" s="48"/>
    </row>
    <row r="30" spans="2:22" ht="15.75" thickBot="1" x14ac:dyDescent="0.3">
      <c r="B30" s="8"/>
      <c r="C30" s="100" t="s">
        <v>0</v>
      </c>
      <c r="D30" s="100"/>
      <c r="E30" s="100"/>
      <c r="F30" s="100" t="s">
        <v>1</v>
      </c>
      <c r="G30" s="100"/>
      <c r="H30" s="96"/>
      <c r="I30" s="96"/>
      <c r="J30" s="96"/>
      <c r="K30" s="101"/>
      <c r="L30" s="77"/>
      <c r="R30" s="49" t="s">
        <v>114</v>
      </c>
      <c r="S30" s="50">
        <f>J27</f>
        <v>8204.64</v>
      </c>
      <c r="T30" s="130">
        <f t="shared" si="5"/>
        <v>8.2046399999999995</v>
      </c>
      <c r="U30" s="53"/>
    </row>
    <row r="31" spans="2:22" ht="30" x14ac:dyDescent="0.25">
      <c r="B31" s="41" t="s">
        <v>31</v>
      </c>
      <c r="C31" s="102" t="s">
        <v>58</v>
      </c>
      <c r="D31" s="102" t="s">
        <v>97</v>
      </c>
      <c r="E31" s="102" t="s">
        <v>56</v>
      </c>
      <c r="F31" s="103" t="s">
        <v>57</v>
      </c>
      <c r="G31" s="103" t="s">
        <v>102</v>
      </c>
      <c r="H31" s="103" t="s">
        <v>25</v>
      </c>
      <c r="I31" s="104" t="s">
        <v>32</v>
      </c>
      <c r="J31" s="104" t="s">
        <v>33</v>
      </c>
      <c r="K31" s="105" t="s">
        <v>34</v>
      </c>
      <c r="L31" s="77"/>
      <c r="R31" s="49" t="s">
        <v>115</v>
      </c>
      <c r="S31" s="50">
        <f>I27</f>
        <v>0</v>
      </c>
      <c r="T31" s="130">
        <f t="shared" si="5"/>
        <v>0</v>
      </c>
      <c r="U31" s="53"/>
    </row>
    <row r="32" spans="2:22" x14ac:dyDescent="0.25">
      <c r="B32" s="19" t="s">
        <v>35</v>
      </c>
      <c r="C32" s="78">
        <v>2596</v>
      </c>
      <c r="D32" s="78">
        <v>0</v>
      </c>
      <c r="E32" s="78">
        <v>0</v>
      </c>
      <c r="F32" s="78">
        <v>282</v>
      </c>
      <c r="G32" s="78">
        <v>0</v>
      </c>
      <c r="H32" s="78">
        <v>0</v>
      </c>
      <c r="I32" s="78">
        <v>0</v>
      </c>
      <c r="J32" s="78">
        <v>2473</v>
      </c>
      <c r="K32" s="80">
        <f>SUM(C32:J32)</f>
        <v>5351</v>
      </c>
      <c r="L32" s="77"/>
      <c r="R32" s="49" t="s">
        <v>116</v>
      </c>
      <c r="S32" s="50">
        <f>K20-J20</f>
        <v>923.95967741934874</v>
      </c>
      <c r="T32" s="130">
        <f t="shared" si="5"/>
        <v>0.9239596774193487</v>
      </c>
      <c r="U32"/>
    </row>
    <row r="33" spans="2:39" x14ac:dyDescent="0.25">
      <c r="B33" s="19" t="s">
        <v>36</v>
      </c>
      <c r="C33" s="106">
        <v>3979.5</v>
      </c>
      <c r="D33" s="78">
        <v>0</v>
      </c>
      <c r="E33" s="78">
        <v>0</v>
      </c>
      <c r="F33" s="78">
        <v>356</v>
      </c>
      <c r="G33" s="106">
        <v>52274.5</v>
      </c>
      <c r="H33" s="78">
        <v>0</v>
      </c>
      <c r="I33" s="78">
        <v>0</v>
      </c>
      <c r="J33" s="78">
        <v>22728</v>
      </c>
      <c r="K33" s="80">
        <f t="shared" ref="K33:K40" si="6">SUM(C33:J33)</f>
        <v>79338</v>
      </c>
      <c r="L33" s="77"/>
      <c r="R33" s="49" t="s">
        <v>117</v>
      </c>
      <c r="S33" s="50">
        <f>L4</f>
        <v>0</v>
      </c>
      <c r="T33" s="130">
        <f t="shared" si="5"/>
        <v>0</v>
      </c>
      <c r="U33" s="53"/>
    </row>
    <row r="34" spans="2:39" x14ac:dyDescent="0.25">
      <c r="B34" s="19" t="s">
        <v>37</v>
      </c>
      <c r="C34" s="78">
        <v>536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7511</v>
      </c>
      <c r="K34" s="80">
        <f t="shared" si="6"/>
        <v>8047</v>
      </c>
      <c r="L34" s="77"/>
      <c r="R34" s="49" t="s">
        <v>118</v>
      </c>
      <c r="S34" s="50">
        <f>L5</f>
        <v>0</v>
      </c>
      <c r="T34" s="130">
        <f t="shared" si="5"/>
        <v>0</v>
      </c>
      <c r="U34" s="53"/>
    </row>
    <row r="35" spans="2:39" x14ac:dyDescent="0.25">
      <c r="B35" s="19" t="s">
        <v>38</v>
      </c>
      <c r="C35" s="78">
        <v>92527</v>
      </c>
      <c r="D35" s="78">
        <v>0</v>
      </c>
      <c r="E35" s="78">
        <v>0</v>
      </c>
      <c r="F35" s="78">
        <v>8042</v>
      </c>
      <c r="G35" s="78">
        <v>0</v>
      </c>
      <c r="H35" s="78">
        <v>0</v>
      </c>
      <c r="I35" s="78">
        <v>0</v>
      </c>
      <c r="J35" s="78">
        <v>982</v>
      </c>
      <c r="K35" s="80">
        <f t="shared" si="6"/>
        <v>101551</v>
      </c>
      <c r="L35" s="77"/>
      <c r="R35" s="49" t="s">
        <v>119</v>
      </c>
      <c r="S35" s="50">
        <f>L15</f>
        <v>0</v>
      </c>
      <c r="T35" s="130">
        <f t="shared" si="5"/>
        <v>0</v>
      </c>
      <c r="U35" s="53"/>
    </row>
    <row r="36" spans="2:39" ht="15.75" thickBot="1" x14ac:dyDescent="0.3">
      <c r="B36" s="19" t="s">
        <v>39</v>
      </c>
      <c r="C36" s="78">
        <v>13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11564</v>
      </c>
      <c r="K36" s="80">
        <f t="shared" si="6"/>
        <v>11577</v>
      </c>
      <c r="L36" s="77"/>
      <c r="R36" s="54" t="s">
        <v>120</v>
      </c>
      <c r="S36" s="131">
        <f>L16</f>
        <v>0</v>
      </c>
      <c r="T36" s="132">
        <f t="shared" si="5"/>
        <v>0</v>
      </c>
    </row>
    <row r="37" spans="2:39" x14ac:dyDescent="0.25">
      <c r="B37" s="19" t="s">
        <v>40</v>
      </c>
      <c r="C37" s="78">
        <v>978</v>
      </c>
      <c r="D37" s="78">
        <v>0</v>
      </c>
      <c r="E37" s="78">
        <v>0</v>
      </c>
      <c r="F37" s="78">
        <v>0</v>
      </c>
      <c r="G37" s="78">
        <v>44535</v>
      </c>
      <c r="H37" s="78">
        <v>0</v>
      </c>
      <c r="I37" s="78">
        <v>0</v>
      </c>
      <c r="J37" s="78">
        <v>51520</v>
      </c>
      <c r="K37" s="80">
        <f t="shared" si="6"/>
        <v>97033</v>
      </c>
      <c r="L37" s="77"/>
      <c r="R37" s="125" t="s">
        <v>121</v>
      </c>
      <c r="S37" s="133">
        <f>SUM(S30:S36)</f>
        <v>9128.5996774193482</v>
      </c>
      <c r="T37" s="134">
        <f>SUM(T30:T36)</f>
        <v>9.1285996774193485</v>
      </c>
      <c r="U37"/>
    </row>
    <row r="38" spans="2:39" x14ac:dyDescent="0.25">
      <c r="B38" s="19" t="s">
        <v>41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1113</v>
      </c>
      <c r="K38" s="80">
        <f t="shared" si="6"/>
        <v>1113</v>
      </c>
      <c r="L38" s="108"/>
      <c r="N38" s="6"/>
      <c r="O38" s="6"/>
      <c r="P38" s="6"/>
      <c r="Q38" s="6"/>
      <c r="R38" s="125" t="s">
        <v>122</v>
      </c>
      <c r="S38"/>
      <c r="T38" s="58">
        <f>T28+T37+T21</f>
        <v>321.6139596774193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2:39" x14ac:dyDescent="0.25">
      <c r="B39" s="19" t="s">
        <v>42</v>
      </c>
      <c r="C39" s="106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4667</v>
      </c>
      <c r="K39" s="80">
        <f t="shared" si="6"/>
        <v>4667</v>
      </c>
      <c r="L39" s="77"/>
      <c r="R39" s="1" t="s">
        <v>123</v>
      </c>
      <c r="S39"/>
      <c r="T39" s="135">
        <f>T19-T38</f>
        <v>0</v>
      </c>
      <c r="U39" s="136"/>
    </row>
    <row r="40" spans="2:39" x14ac:dyDescent="0.25">
      <c r="B40" s="19" t="s">
        <v>43</v>
      </c>
      <c r="C40" s="74">
        <f>SUM(C32:C39)</f>
        <v>100629.5</v>
      </c>
      <c r="D40" s="72">
        <f t="shared" ref="D40:J40" si="7">SUM(D32:D39)</f>
        <v>0</v>
      </c>
      <c r="E40" s="72">
        <f t="shared" si="7"/>
        <v>0</v>
      </c>
      <c r="F40" s="72">
        <f t="shared" si="7"/>
        <v>8680</v>
      </c>
      <c r="G40" s="74">
        <f t="shared" si="7"/>
        <v>96809.5</v>
      </c>
      <c r="H40" s="72">
        <f t="shared" si="7"/>
        <v>0</v>
      </c>
      <c r="I40" s="72">
        <f t="shared" si="7"/>
        <v>0</v>
      </c>
      <c r="J40" s="72">
        <f t="shared" si="7"/>
        <v>102558</v>
      </c>
      <c r="K40" s="80">
        <f t="shared" si="6"/>
        <v>308677</v>
      </c>
      <c r="L40" s="77"/>
    </row>
    <row r="41" spans="2:39" x14ac:dyDescent="0.25">
      <c r="B41" s="19" t="s">
        <v>44</v>
      </c>
      <c r="C41" s="72">
        <f>SUM(C37:C39)</f>
        <v>978</v>
      </c>
      <c r="D41" s="72">
        <f t="shared" ref="D41:K41" si="8">SUM(D37:D39)</f>
        <v>0</v>
      </c>
      <c r="E41" s="72">
        <f t="shared" si="8"/>
        <v>0</v>
      </c>
      <c r="F41" s="72">
        <f t="shared" si="8"/>
        <v>0</v>
      </c>
      <c r="G41" s="72">
        <f t="shared" si="8"/>
        <v>44535</v>
      </c>
      <c r="H41" s="72">
        <f t="shared" si="8"/>
        <v>0</v>
      </c>
      <c r="I41" s="72">
        <f t="shared" si="8"/>
        <v>0</v>
      </c>
      <c r="J41" s="72">
        <f t="shared" si="8"/>
        <v>57300</v>
      </c>
      <c r="K41" s="72">
        <f t="shared" si="8"/>
        <v>102813</v>
      </c>
      <c r="L41" s="77"/>
    </row>
    <row r="42" spans="2:39" x14ac:dyDescent="0.25">
      <c r="B42" s="24"/>
      <c r="C42" s="20"/>
      <c r="D42" s="20"/>
      <c r="E42" s="20"/>
      <c r="F42" s="20"/>
      <c r="G42" s="20"/>
      <c r="H42" s="20"/>
      <c r="I42" s="20"/>
      <c r="J42" s="20"/>
      <c r="K42" s="25"/>
      <c r="L42" s="34"/>
    </row>
    <row r="43" spans="2:39" ht="15.75" thickBot="1" x14ac:dyDescent="0.3">
      <c r="B43" s="43"/>
      <c r="C43" s="44"/>
      <c r="D43" s="44"/>
      <c r="E43" s="44"/>
      <c r="F43" s="44"/>
      <c r="G43" s="44"/>
      <c r="H43" s="44"/>
      <c r="I43" s="44"/>
      <c r="J43" s="44"/>
      <c r="K43" s="45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3"/>
  <sheetViews>
    <sheetView zoomScale="70" zoomScaleNormal="70" workbookViewId="0">
      <selection activeCell="J28" sqref="J28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6.5703125" style="1" bestFit="1" customWidth="1"/>
    <col min="4" max="4" width="9.28515625" style="1" bestFit="1" customWidth="1"/>
    <col min="5" max="5" width="14.5703125" style="1" bestFit="1" customWidth="1"/>
    <col min="6" max="7" width="15" style="1" bestFit="1" customWidth="1"/>
    <col min="8" max="8" width="9.28515625" style="1" bestFit="1" customWidth="1"/>
    <col min="9" max="9" width="27.140625" style="1" customWidth="1"/>
    <col min="10" max="10" width="17.7109375" style="1" customWidth="1"/>
    <col min="11" max="11" width="20.42578125" style="1" customWidth="1"/>
    <col min="12" max="12" width="21.85546875" style="1" customWidth="1"/>
    <col min="13" max="13" width="25.5703125" style="1" customWidth="1"/>
    <col min="14" max="14" width="9.140625" style="1"/>
    <col min="15" max="15" width="10.7109375" style="1" bestFit="1" customWidth="1"/>
    <col min="16" max="17" width="9.140625" style="1"/>
    <col min="18" max="18" width="36" style="1" bestFit="1" customWidth="1"/>
    <col min="19" max="19" width="13.140625" style="1" bestFit="1" customWidth="1"/>
    <col min="20" max="16384" width="9.140625" style="1"/>
  </cols>
  <sheetData>
    <row r="1" spans="2:22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4"/>
      <c r="I1" s="5" t="s">
        <v>2</v>
      </c>
      <c r="J1" s="5" t="s">
        <v>3</v>
      </c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1"/>
    </row>
    <row r="2" spans="2:22" s="7" customFormat="1" ht="60" x14ac:dyDescent="0.25">
      <c r="B2" s="8"/>
      <c r="C2" s="9" t="s">
        <v>58</v>
      </c>
      <c r="D2" s="9" t="s">
        <v>53</v>
      </c>
      <c r="E2" s="9" t="s">
        <v>56</v>
      </c>
      <c r="F2" s="10" t="s">
        <v>57</v>
      </c>
      <c r="G2" s="10" t="s">
        <v>102</v>
      </c>
      <c r="H2" s="10" t="s">
        <v>25</v>
      </c>
      <c r="I2" s="11" t="s">
        <v>4</v>
      </c>
      <c r="J2" s="11" t="s">
        <v>5</v>
      </c>
      <c r="L2" s="12" t="s">
        <v>6</v>
      </c>
      <c r="M2" s="13"/>
      <c r="N2" s="6"/>
      <c r="O2" s="6"/>
      <c r="P2" s="6"/>
      <c r="Q2" s="6"/>
      <c r="R2" s="6"/>
      <c r="S2" s="6"/>
      <c r="T2" s="6"/>
      <c r="U2" s="6"/>
      <c r="V2" s="1"/>
    </row>
    <row r="3" spans="2:22" s="7" customFormat="1" x14ac:dyDescent="0.25">
      <c r="B3" s="14" t="s">
        <v>7</v>
      </c>
      <c r="C3" s="15"/>
      <c r="D3" s="15"/>
      <c r="E3" s="15"/>
      <c r="F3" s="15"/>
      <c r="G3" s="15"/>
      <c r="H3" s="15"/>
      <c r="I3" s="16"/>
      <c r="J3" s="16"/>
      <c r="K3" s="17"/>
      <c r="L3" s="18"/>
      <c r="M3" s="1"/>
      <c r="N3" s="6"/>
      <c r="O3" s="6"/>
      <c r="P3" s="6"/>
      <c r="Q3" s="6"/>
      <c r="T3" s="7" t="s">
        <v>48</v>
      </c>
      <c r="V3" s="1"/>
    </row>
    <row r="4" spans="2:22" s="7" customFormat="1" ht="17.25" x14ac:dyDescent="0.4">
      <c r="B4" s="19" t="s">
        <v>8</v>
      </c>
      <c r="C4" s="81">
        <v>1824</v>
      </c>
      <c r="D4" s="77">
        <v>0</v>
      </c>
      <c r="E4" s="77">
        <v>0</v>
      </c>
      <c r="F4" s="77">
        <v>0</v>
      </c>
      <c r="G4" s="81">
        <v>61178</v>
      </c>
      <c r="H4" s="77">
        <v>0</v>
      </c>
      <c r="I4" s="81">
        <f>SUM(C4:H4)</f>
        <v>63002</v>
      </c>
      <c r="J4" s="82">
        <v>63002</v>
      </c>
      <c r="K4" s="137">
        <f>J4/(J4+J5)</f>
        <v>0.8732327992459944</v>
      </c>
      <c r="L4" s="80">
        <f>I4-J4</f>
        <v>0</v>
      </c>
      <c r="M4" s="1"/>
      <c r="N4" s="6"/>
      <c r="O4" s="6"/>
      <c r="P4" s="6"/>
      <c r="Q4" s="6"/>
      <c r="R4" s="49" t="s">
        <v>103</v>
      </c>
      <c r="S4" s="21">
        <f>K20</f>
        <v>55605.641253741269</v>
      </c>
      <c r="T4" s="123">
        <f>S4/1000</f>
        <v>55.605641253741268</v>
      </c>
      <c r="U4" s="124"/>
      <c r="V4" s="1"/>
    </row>
    <row r="5" spans="2:22" s="7" customFormat="1" ht="17.25" x14ac:dyDescent="0.4">
      <c r="B5" s="19" t="s">
        <v>9</v>
      </c>
      <c r="C5" s="163">
        <v>0</v>
      </c>
      <c r="D5" s="77">
        <v>0</v>
      </c>
      <c r="E5" s="77">
        <v>0</v>
      </c>
      <c r="F5" s="77">
        <v>0</v>
      </c>
      <c r="G5" s="81">
        <v>6485</v>
      </c>
      <c r="H5" s="77">
        <v>0</v>
      </c>
      <c r="I5" s="81">
        <f t="shared" ref="I5:I10" si="0">SUM(C5:H5)</f>
        <v>6485</v>
      </c>
      <c r="J5" s="82">
        <v>9146</v>
      </c>
      <c r="K5" s="137">
        <f>J5/(J4+J5)</f>
        <v>0.12676720075400566</v>
      </c>
      <c r="L5" s="80">
        <f>I5-J5</f>
        <v>-2661</v>
      </c>
      <c r="M5" s="1"/>
      <c r="N5" s="6"/>
      <c r="O5" s="6"/>
      <c r="P5" s="6"/>
      <c r="Q5" s="6"/>
      <c r="R5" s="7" t="s">
        <v>104</v>
      </c>
      <c r="S5" s="21">
        <f>IF(J28&gt;0,0,J28)*-1</f>
        <v>338405.28</v>
      </c>
      <c r="T5" s="123">
        <f>S5/1000</f>
        <v>338.40528</v>
      </c>
      <c r="V5" s="1"/>
    </row>
    <row r="6" spans="2:22" s="7" customFormat="1" ht="17.25" x14ac:dyDescent="0.4">
      <c r="B6" s="19" t="s">
        <v>10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171">
        <f t="shared" si="0"/>
        <v>0</v>
      </c>
      <c r="J6" s="82">
        <v>0</v>
      </c>
      <c r="K6" s="79"/>
      <c r="L6" s="80"/>
      <c r="M6" s="1"/>
      <c r="N6" s="6"/>
      <c r="O6" s="6"/>
      <c r="P6" s="6"/>
      <c r="Q6" s="6"/>
      <c r="R6" s="49" t="s">
        <v>50</v>
      </c>
      <c r="S6" s="123">
        <f>G10+G20+G40</f>
        <v>144672.66999999998</v>
      </c>
      <c r="T6" s="123">
        <f>S6/1000</f>
        <v>144.67266999999998</v>
      </c>
      <c r="U6" s="124"/>
      <c r="V6" s="1"/>
    </row>
    <row r="7" spans="2:22" s="7" customFormat="1" x14ac:dyDescent="0.25">
      <c r="B7" s="19" t="s">
        <v>11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171">
        <f t="shared" si="0"/>
        <v>0</v>
      </c>
      <c r="J7" s="78">
        <v>0</v>
      </c>
      <c r="K7" s="79"/>
      <c r="L7" s="80"/>
      <c r="M7" s="1"/>
      <c r="N7" s="6"/>
      <c r="O7" s="6"/>
      <c r="P7" s="6"/>
      <c r="Q7" s="6"/>
      <c r="R7" s="49" t="s">
        <v>53</v>
      </c>
      <c r="S7" s="123">
        <f>D10+D20</f>
        <v>0</v>
      </c>
      <c r="T7" s="123">
        <f t="shared" ref="T7:T14" si="1">S7/1000</f>
        <v>0</v>
      </c>
      <c r="U7" s="124"/>
      <c r="V7" s="1"/>
    </row>
    <row r="8" spans="2:22" s="7" customFormat="1" x14ac:dyDescent="0.25">
      <c r="B8" s="19" t="s">
        <v>12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171">
        <f t="shared" si="0"/>
        <v>0</v>
      </c>
      <c r="J8" s="78">
        <v>0</v>
      </c>
      <c r="K8" s="79"/>
      <c r="L8" s="80"/>
      <c r="M8" s="1"/>
      <c r="N8" s="6"/>
      <c r="O8" s="6"/>
      <c r="P8" s="6"/>
      <c r="Q8" s="6"/>
      <c r="S8" s="123"/>
      <c r="T8" s="123">
        <f t="shared" si="1"/>
        <v>0</v>
      </c>
      <c r="U8" s="124"/>
      <c r="V8" s="1"/>
    </row>
    <row r="9" spans="2:22" s="7" customFormat="1" ht="17.25" x14ac:dyDescent="0.4">
      <c r="B9" s="19" t="s">
        <v>13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171">
        <f t="shared" si="0"/>
        <v>0</v>
      </c>
      <c r="J9" s="82">
        <v>7800</v>
      </c>
      <c r="K9" s="79"/>
      <c r="L9" s="80"/>
      <c r="M9" s="1"/>
      <c r="N9" s="6"/>
      <c r="O9" s="6"/>
      <c r="P9" s="6"/>
      <c r="Q9" s="6"/>
      <c r="R9" s="125" t="s">
        <v>105</v>
      </c>
      <c r="S9" s="123"/>
      <c r="T9" s="123">
        <f t="shared" si="1"/>
        <v>0</v>
      </c>
      <c r="U9" s="124"/>
      <c r="V9" s="1"/>
    </row>
    <row r="10" spans="2:22" s="7" customFormat="1" ht="17.25" x14ac:dyDescent="0.4">
      <c r="B10" s="19" t="s">
        <v>14</v>
      </c>
      <c r="C10" s="82">
        <f t="shared" ref="C10:J10" si="2">SUM(C4:C9)</f>
        <v>1824</v>
      </c>
      <c r="D10" s="78">
        <f t="shared" si="2"/>
        <v>0</v>
      </c>
      <c r="E10" s="78">
        <f t="shared" si="2"/>
        <v>0</v>
      </c>
      <c r="F10" s="78">
        <f t="shared" si="2"/>
        <v>0</v>
      </c>
      <c r="G10" s="82">
        <f t="shared" si="2"/>
        <v>67663</v>
      </c>
      <c r="H10" s="78">
        <f t="shared" si="2"/>
        <v>0</v>
      </c>
      <c r="I10" s="81">
        <f t="shared" si="0"/>
        <v>69487</v>
      </c>
      <c r="J10" s="116">
        <f t="shared" si="2"/>
        <v>79948</v>
      </c>
      <c r="K10" s="79"/>
      <c r="L10" s="80">
        <f>SUM(L4:L9)</f>
        <v>-2661</v>
      </c>
      <c r="M10" s="1"/>
      <c r="N10" s="6"/>
      <c r="O10" s="6"/>
      <c r="P10" s="6"/>
      <c r="Q10" s="6"/>
      <c r="R10" s="49" t="s">
        <v>55</v>
      </c>
      <c r="S10" s="123"/>
      <c r="T10" s="123">
        <f t="shared" si="1"/>
        <v>0</v>
      </c>
      <c r="U10" s="124"/>
      <c r="V10" s="1"/>
    </row>
    <row r="11" spans="2:22" s="7" customFormat="1" x14ac:dyDescent="0.25">
      <c r="B11" s="22"/>
      <c r="C11" s="83"/>
      <c r="D11" s="83"/>
      <c r="E11" s="83"/>
      <c r="F11" s="83"/>
      <c r="G11" s="83"/>
      <c r="H11" s="83"/>
      <c r="I11" s="83"/>
      <c r="J11" s="83"/>
      <c r="K11" s="84"/>
      <c r="L11" s="85"/>
      <c r="M11" s="1"/>
      <c r="N11" s="6"/>
      <c r="O11" s="6"/>
      <c r="P11" s="6"/>
      <c r="Q11" s="6"/>
      <c r="R11" s="49" t="s">
        <v>56</v>
      </c>
      <c r="S11" s="123">
        <f>E10+E20+E40</f>
        <v>10005.777777777777</v>
      </c>
      <c r="T11" s="123">
        <f t="shared" si="1"/>
        <v>10.005777777777777</v>
      </c>
      <c r="U11" s="124"/>
      <c r="V11" s="1"/>
    </row>
    <row r="12" spans="2:22" s="7" customFormat="1" x14ac:dyDescent="0.25">
      <c r="B12" s="23" t="s">
        <v>15</v>
      </c>
      <c r="C12" s="83"/>
      <c r="D12" s="83"/>
      <c r="E12" s="83"/>
      <c r="F12" s="83"/>
      <c r="G12" s="83"/>
      <c r="H12" s="83"/>
      <c r="I12" s="79"/>
      <c r="J12" s="79"/>
      <c r="K12" s="84"/>
      <c r="L12" s="85"/>
      <c r="M12" s="1"/>
      <c r="N12" s="6"/>
      <c r="O12" s="6"/>
      <c r="P12" s="6"/>
      <c r="Q12" s="6"/>
      <c r="R12" s="49" t="s">
        <v>25</v>
      </c>
      <c r="S12" s="123">
        <f>H10+H20+H40</f>
        <v>0</v>
      </c>
      <c r="T12" s="123">
        <f t="shared" si="1"/>
        <v>0</v>
      </c>
      <c r="U12" s="124"/>
      <c r="V12" s="1"/>
    </row>
    <row r="13" spans="2:22" x14ac:dyDescent="0.25">
      <c r="B13" s="24"/>
      <c r="C13" s="78"/>
      <c r="D13" s="78"/>
      <c r="E13" s="78"/>
      <c r="F13" s="78"/>
      <c r="G13" s="78"/>
      <c r="H13" s="78"/>
      <c r="I13" s="78"/>
      <c r="J13" s="78"/>
      <c r="K13" s="78"/>
      <c r="L13" s="86"/>
      <c r="M13" s="6"/>
      <c r="R13" s="49" t="s">
        <v>57</v>
      </c>
      <c r="S13" s="123">
        <f>F10+F20+F40</f>
        <v>24539</v>
      </c>
      <c r="T13" s="123">
        <f t="shared" si="1"/>
        <v>24.539000000000001</v>
      </c>
      <c r="U13" s="124"/>
    </row>
    <row r="14" spans="2:22" ht="18.75" x14ac:dyDescent="0.3">
      <c r="B14" s="26" t="s">
        <v>16</v>
      </c>
      <c r="C14" s="87"/>
      <c r="D14" s="87"/>
      <c r="E14" s="87"/>
      <c r="F14" s="87"/>
      <c r="G14" s="87"/>
      <c r="H14" s="87"/>
      <c r="I14" s="87"/>
      <c r="J14" s="88" t="s">
        <v>17</v>
      </c>
      <c r="K14" s="89" t="s">
        <v>18</v>
      </c>
      <c r="L14" s="90"/>
      <c r="M14" s="27" t="s">
        <v>19</v>
      </c>
      <c r="N14" s="28"/>
      <c r="R14" s="49" t="s">
        <v>58</v>
      </c>
      <c r="S14" s="123">
        <f>C10+C20+C40</f>
        <v>266999</v>
      </c>
      <c r="T14" s="123">
        <f t="shared" si="1"/>
        <v>266.99900000000002</v>
      </c>
      <c r="U14" s="124"/>
    </row>
    <row r="15" spans="2:22" ht="17.25" x14ac:dyDescent="0.4">
      <c r="B15" s="19" t="s">
        <v>20</v>
      </c>
      <c r="C15" s="78">
        <v>0</v>
      </c>
      <c r="D15" s="78">
        <v>0</v>
      </c>
      <c r="E15" s="78">
        <v>0</v>
      </c>
      <c r="F15" s="78">
        <v>0</v>
      </c>
      <c r="G15" s="82">
        <v>20013.669999999995</v>
      </c>
      <c r="H15" s="78">
        <v>0</v>
      </c>
      <c r="I15" s="82">
        <v>20013.669999999995</v>
      </c>
      <c r="J15" s="82">
        <v>10000</v>
      </c>
      <c r="K15" s="91">
        <f>J15/(1-M15)</f>
        <v>10309.278350515464</v>
      </c>
      <c r="L15" s="92">
        <f>I15-K15</f>
        <v>9704.3916494845307</v>
      </c>
      <c r="M15" s="29">
        <v>0.03</v>
      </c>
      <c r="O15" s="30"/>
      <c r="R15" s="125" t="s">
        <v>106</v>
      </c>
      <c r="S15" s="123">
        <f>SUM(S4:S14)</f>
        <v>840227.36903151905</v>
      </c>
      <c r="T15" s="123">
        <f>SUM(T4:T14)</f>
        <v>840.22736903151906</v>
      </c>
      <c r="U15" s="124"/>
    </row>
    <row r="16" spans="2:22" x14ac:dyDescent="0.25">
      <c r="B16" s="19" t="s">
        <v>21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91">
        <f>J16/(1-M16)</f>
        <v>0</v>
      </c>
      <c r="L16" s="92">
        <f>I16-K16</f>
        <v>0</v>
      </c>
      <c r="M16" s="29">
        <v>0.03</v>
      </c>
      <c r="O16" s="30"/>
      <c r="R16" t="s">
        <v>107</v>
      </c>
      <c r="S16" s="57">
        <f>J8</f>
        <v>0</v>
      </c>
      <c r="T16" s="57">
        <f>S16/1000</f>
        <v>0</v>
      </c>
      <c r="U16" s="124"/>
    </row>
    <row r="17" spans="2:22" x14ac:dyDescent="0.25">
      <c r="B17" s="19" t="s">
        <v>22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91">
        <f>J17/(1-M17)</f>
        <v>0</v>
      </c>
      <c r="L17" s="92">
        <f>I17-K17</f>
        <v>0</v>
      </c>
      <c r="M17" s="29">
        <v>0.03</v>
      </c>
      <c r="O17" s="30"/>
      <c r="R17" t="s">
        <v>108</v>
      </c>
      <c r="S17" s="57">
        <f>J9</f>
        <v>7800</v>
      </c>
      <c r="T17" s="57">
        <f t="shared" ref="T17:T18" si="3">S17/1000</f>
        <v>7.8</v>
      </c>
      <c r="U17" s="124"/>
      <c r="V17" s="6"/>
    </row>
    <row r="18" spans="2:22" ht="17.25" x14ac:dyDescent="0.4">
      <c r="B18" s="19" t="s">
        <v>23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82">
        <v>3021</v>
      </c>
      <c r="K18" s="91">
        <f>J18/(1-M18)</f>
        <v>3045.3629032258063</v>
      </c>
      <c r="L18" s="92"/>
      <c r="M18" s="31">
        <v>8.0000000000000002E-3</v>
      </c>
      <c r="O18" s="30"/>
      <c r="R18" t="s">
        <v>109</v>
      </c>
      <c r="S18" s="57">
        <f>J6+J7</f>
        <v>0</v>
      </c>
      <c r="T18" s="57">
        <f t="shared" si="3"/>
        <v>0</v>
      </c>
      <c r="U18"/>
    </row>
    <row r="19" spans="2:22" ht="17.25" x14ac:dyDescent="0.4">
      <c r="B19" s="19" t="s">
        <v>24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82">
        <v>42251</v>
      </c>
      <c r="K19" s="91">
        <f>J19/(1-M19)</f>
        <v>42251</v>
      </c>
      <c r="L19" s="92"/>
      <c r="M19" s="1">
        <v>0</v>
      </c>
      <c r="O19" s="30"/>
      <c r="R19" t="s">
        <v>110</v>
      </c>
      <c r="S19" s="57">
        <f>SUM(S15:S18)</f>
        <v>848027.36903151905</v>
      </c>
      <c r="T19" s="57">
        <f>SUM(T15:T18)</f>
        <v>848.02736903151902</v>
      </c>
      <c r="U19"/>
    </row>
    <row r="20" spans="2:22" ht="17.25" x14ac:dyDescent="0.4">
      <c r="B20" s="19" t="s">
        <v>14</v>
      </c>
      <c r="C20" s="78">
        <f t="shared" ref="C20:I20" si="4">SUM(C15:C19)</f>
        <v>0</v>
      </c>
      <c r="D20" s="78">
        <f t="shared" si="4"/>
        <v>0</v>
      </c>
      <c r="E20" s="78">
        <f t="shared" si="4"/>
        <v>0</v>
      </c>
      <c r="F20" s="78">
        <f t="shared" si="4"/>
        <v>0</v>
      </c>
      <c r="G20" s="82">
        <f t="shared" si="4"/>
        <v>20013.669999999995</v>
      </c>
      <c r="H20" s="78">
        <f t="shared" si="4"/>
        <v>0</v>
      </c>
      <c r="I20" s="82">
        <f t="shared" si="4"/>
        <v>20013.669999999995</v>
      </c>
      <c r="J20" s="82">
        <f>SUM(J15:J19)</f>
        <v>55272</v>
      </c>
      <c r="K20" s="93">
        <f>SUM(K15:K19)</f>
        <v>55605.641253741269</v>
      </c>
      <c r="L20" s="93">
        <f>SUM(L15:L19)</f>
        <v>9704.3916494845307</v>
      </c>
      <c r="M20" s="32"/>
      <c r="N20" s="33"/>
      <c r="O20" s="30"/>
      <c r="R20"/>
      <c r="S20"/>
      <c r="T20"/>
      <c r="U20"/>
    </row>
    <row r="21" spans="2:22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7"/>
      <c r="L21" s="86"/>
      <c r="M21" s="30"/>
      <c r="R21" s="19" t="s">
        <v>111</v>
      </c>
      <c r="S21" s="21">
        <f>IF(J28&lt;0,0,J28)</f>
        <v>0</v>
      </c>
      <c r="T21" s="123">
        <f t="shared" ref="T21:T27" si="5">S21/1000</f>
        <v>0</v>
      </c>
      <c r="U21" s="124"/>
    </row>
    <row r="22" spans="2:22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86"/>
      <c r="R22" s="19" t="s">
        <v>35</v>
      </c>
      <c r="S22" s="126">
        <f>K32</f>
        <v>42253</v>
      </c>
      <c r="T22" s="123">
        <f t="shared" si="5"/>
        <v>42.253</v>
      </c>
      <c r="U22" s="124"/>
    </row>
    <row r="23" spans="2:22" ht="15.75" thickBot="1" x14ac:dyDescent="0.3">
      <c r="B23" s="35" t="s">
        <v>25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R23" s="19" t="s">
        <v>36</v>
      </c>
      <c r="S23" s="126">
        <f>K33</f>
        <v>290286.77777777775</v>
      </c>
      <c r="T23" s="123">
        <f t="shared" si="5"/>
        <v>290.28677777777773</v>
      </c>
      <c r="U23" s="124"/>
    </row>
    <row r="24" spans="2:22" x14ac:dyDescent="0.25">
      <c r="C24" s="77"/>
      <c r="D24" s="77"/>
      <c r="E24" s="77"/>
      <c r="F24" s="77"/>
      <c r="G24" s="77"/>
      <c r="H24" s="77"/>
      <c r="I24" s="77"/>
      <c r="J24" s="77"/>
      <c r="K24" s="77"/>
      <c r="L24" s="77"/>
      <c r="R24" s="19" t="s">
        <v>37</v>
      </c>
      <c r="S24" s="126">
        <f>K34</f>
        <v>33676</v>
      </c>
      <c r="T24" s="123">
        <f t="shared" si="5"/>
        <v>33.676000000000002</v>
      </c>
      <c r="U24" s="124"/>
    </row>
    <row r="25" spans="2:22" ht="15.75" thickBot="1" x14ac:dyDescent="0.3">
      <c r="C25" s="77"/>
      <c r="D25" s="77"/>
      <c r="E25" s="77"/>
      <c r="F25" s="77"/>
      <c r="G25" s="77"/>
      <c r="H25" s="77"/>
      <c r="I25" s="77"/>
      <c r="J25" s="77"/>
      <c r="K25" s="77"/>
      <c r="L25" s="77"/>
      <c r="R25" s="19" t="s">
        <v>38</v>
      </c>
      <c r="S25" s="126">
        <f>K35</f>
        <v>229137</v>
      </c>
      <c r="T25" s="123">
        <f t="shared" si="5"/>
        <v>229.137</v>
      </c>
      <c r="U25" s="124"/>
    </row>
    <row r="26" spans="2:22" x14ac:dyDescent="0.25">
      <c r="B26" s="8"/>
      <c r="C26" s="96"/>
      <c r="D26" s="96"/>
      <c r="E26" s="96"/>
      <c r="F26" s="96"/>
      <c r="G26" s="96"/>
      <c r="H26" s="77"/>
      <c r="I26" s="97" t="s">
        <v>26</v>
      </c>
      <c r="J26" s="98" t="s">
        <v>27</v>
      </c>
      <c r="K26" s="77"/>
      <c r="L26" s="77"/>
      <c r="M26" s="38" t="s">
        <v>28</v>
      </c>
      <c r="R26" s="19" t="s">
        <v>39</v>
      </c>
      <c r="S26" s="126">
        <f>K36</f>
        <v>34908</v>
      </c>
      <c r="T26" s="123">
        <f t="shared" si="5"/>
        <v>34.908000000000001</v>
      </c>
      <c r="U26" s="124"/>
    </row>
    <row r="27" spans="2:22" x14ac:dyDescent="0.25">
      <c r="B27" s="39" t="s">
        <v>29</v>
      </c>
      <c r="C27" s="78"/>
      <c r="D27" s="78"/>
      <c r="E27" s="78"/>
      <c r="F27" s="78"/>
      <c r="G27" s="78"/>
      <c r="H27" s="77"/>
      <c r="I27" s="72">
        <f>J10-I40</f>
        <v>11020</v>
      </c>
      <c r="J27" s="80">
        <f>J40*8%</f>
        <v>29161.279999999999</v>
      </c>
      <c r="K27" s="77"/>
      <c r="L27" s="77"/>
      <c r="M27" s="40">
        <f>100-(I40/J10*100)</f>
        <v>13.78395957372291</v>
      </c>
      <c r="R27" s="19" t="s">
        <v>44</v>
      </c>
      <c r="S27" s="126">
        <f>K41</f>
        <v>159899</v>
      </c>
      <c r="T27" s="123">
        <f t="shared" si="5"/>
        <v>159.899</v>
      </c>
      <c r="U27" s="124"/>
    </row>
    <row r="28" spans="2:22" ht="15.75" thickBot="1" x14ac:dyDescent="0.3">
      <c r="B28" s="35" t="s">
        <v>30</v>
      </c>
      <c r="C28" s="94"/>
      <c r="D28" s="94"/>
      <c r="E28" s="94"/>
      <c r="F28" s="94"/>
      <c r="G28" s="94"/>
      <c r="H28" s="94"/>
      <c r="I28" s="99">
        <f>I40+I27-J10</f>
        <v>0</v>
      </c>
      <c r="J28" s="122">
        <f>J20-J27-J40</f>
        <v>-338405.28</v>
      </c>
      <c r="K28" s="77"/>
      <c r="L28" s="77"/>
      <c r="M28" s="1" t="str">
        <f>IF(M27&gt;10,"OBS! HÖGA FÖRLUSTER","OK")</f>
        <v>OBS! HÖGA FÖRLUSTER</v>
      </c>
      <c r="R28" s="19" t="s">
        <v>112</v>
      </c>
      <c r="S28" s="58">
        <f>SUM(S22:S27)</f>
        <v>790159.77777777775</v>
      </c>
      <c r="T28" s="58">
        <f>SUM(T22:T27)</f>
        <v>790.15977777777766</v>
      </c>
      <c r="U28" s="124"/>
    </row>
    <row r="29" spans="2:22" ht="15.75" thickBot="1" x14ac:dyDescent="0.3">
      <c r="C29" s="77"/>
      <c r="D29" s="77"/>
      <c r="E29" s="77"/>
      <c r="F29" s="77"/>
      <c r="G29" s="77"/>
      <c r="H29" s="77"/>
      <c r="I29" s="77"/>
      <c r="J29" s="77"/>
      <c r="K29" s="77"/>
      <c r="L29" s="77"/>
      <c r="R29" s="127" t="s">
        <v>113</v>
      </c>
      <c r="S29" s="128"/>
      <c r="T29" s="129">
        <f t="shared" ref="T29:T36" si="6">S29/1000</f>
        <v>0</v>
      </c>
      <c r="U29" s="48"/>
    </row>
    <row r="30" spans="2:22" ht="15.75" thickBot="1" x14ac:dyDescent="0.3">
      <c r="B30" s="8"/>
      <c r="C30" s="100" t="s">
        <v>0</v>
      </c>
      <c r="D30" s="100"/>
      <c r="E30" s="100"/>
      <c r="F30" s="100" t="s">
        <v>1</v>
      </c>
      <c r="G30" s="100"/>
      <c r="H30" s="96"/>
      <c r="I30" s="96"/>
      <c r="J30" s="96"/>
      <c r="K30" s="101"/>
      <c r="L30" s="77"/>
      <c r="R30" s="49" t="s">
        <v>114</v>
      </c>
      <c r="S30" s="50">
        <f>J27</f>
        <v>29161.279999999999</v>
      </c>
      <c r="T30" s="130">
        <f t="shared" si="6"/>
        <v>29.161279999999998</v>
      </c>
      <c r="U30" s="53"/>
    </row>
    <row r="31" spans="2:22" ht="30" x14ac:dyDescent="0.25">
      <c r="B31" s="41" t="s">
        <v>31</v>
      </c>
      <c r="C31" s="102" t="s">
        <v>58</v>
      </c>
      <c r="D31" s="102" t="s">
        <v>53</v>
      </c>
      <c r="E31" s="102" t="s">
        <v>56</v>
      </c>
      <c r="F31" s="103" t="s">
        <v>57</v>
      </c>
      <c r="G31" s="103" t="s">
        <v>102</v>
      </c>
      <c r="H31" s="103" t="s">
        <v>25</v>
      </c>
      <c r="I31" s="104" t="s">
        <v>32</v>
      </c>
      <c r="J31" s="104" t="s">
        <v>33</v>
      </c>
      <c r="K31" s="105" t="s">
        <v>34</v>
      </c>
      <c r="L31" s="77"/>
      <c r="R31" s="49" t="s">
        <v>115</v>
      </c>
      <c r="S31" s="50">
        <f>I27</f>
        <v>11020</v>
      </c>
      <c r="T31" s="130">
        <f t="shared" si="6"/>
        <v>11.02</v>
      </c>
      <c r="U31" s="53"/>
    </row>
    <row r="32" spans="2:22" ht="17.25" x14ac:dyDescent="0.4">
      <c r="B32" s="19" t="s">
        <v>35</v>
      </c>
      <c r="C32" s="78">
        <v>10036</v>
      </c>
      <c r="D32" s="78">
        <v>0</v>
      </c>
      <c r="E32" s="78">
        <v>0</v>
      </c>
      <c r="F32" s="82">
        <v>667</v>
      </c>
      <c r="G32" s="78">
        <v>0</v>
      </c>
      <c r="H32" s="78">
        <v>0</v>
      </c>
      <c r="I32" s="78">
        <v>0</v>
      </c>
      <c r="J32" s="78">
        <v>31550</v>
      </c>
      <c r="K32" s="117">
        <f>SUM(C32:J32)</f>
        <v>42253</v>
      </c>
      <c r="L32" s="77"/>
      <c r="R32" s="49" t="s">
        <v>116</v>
      </c>
      <c r="S32" s="50">
        <f>K20-J20</f>
        <v>333.64125374126888</v>
      </c>
      <c r="T32" s="130">
        <f t="shared" si="6"/>
        <v>0.33364125374126891</v>
      </c>
      <c r="U32"/>
    </row>
    <row r="33" spans="2:39" ht="17.25" x14ac:dyDescent="0.4">
      <c r="B33" s="19" t="s">
        <v>36</v>
      </c>
      <c r="C33" s="78">
        <v>42127</v>
      </c>
      <c r="D33" s="78">
        <v>0</v>
      </c>
      <c r="E33" s="82">
        <v>10005.777777777777</v>
      </c>
      <c r="F33" s="82">
        <v>3991</v>
      </c>
      <c r="G33" s="82">
        <v>5000</v>
      </c>
      <c r="H33" s="78">
        <v>0</v>
      </c>
      <c r="I33" s="78">
        <v>6621</v>
      </c>
      <c r="J33" s="78">
        <v>222542</v>
      </c>
      <c r="K33" s="80">
        <f t="shared" ref="K33:K40" si="7">SUM(C33:J33)</f>
        <v>290286.77777777775</v>
      </c>
      <c r="L33" s="77"/>
      <c r="R33" s="49" t="s">
        <v>117</v>
      </c>
      <c r="S33" s="50">
        <f>L4</f>
        <v>0</v>
      </c>
      <c r="T33" s="130">
        <f t="shared" si="6"/>
        <v>0</v>
      </c>
      <c r="U33" s="53"/>
    </row>
    <row r="34" spans="2:39" x14ac:dyDescent="0.25">
      <c r="B34" s="19" t="s">
        <v>37</v>
      </c>
      <c r="C34" s="78">
        <v>162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15108</v>
      </c>
      <c r="J34" s="78">
        <v>18406</v>
      </c>
      <c r="K34" s="80">
        <f t="shared" si="7"/>
        <v>33676</v>
      </c>
      <c r="L34" s="77"/>
      <c r="R34" s="49" t="s">
        <v>118</v>
      </c>
      <c r="S34" s="50">
        <f>L5</f>
        <v>-2661</v>
      </c>
      <c r="T34" s="130">
        <f t="shared" si="6"/>
        <v>-2.661</v>
      </c>
      <c r="U34" s="53"/>
    </row>
    <row r="35" spans="2:39" x14ac:dyDescent="0.25">
      <c r="B35" s="19" t="s">
        <v>38</v>
      </c>
      <c r="C35" s="78">
        <v>208759</v>
      </c>
      <c r="D35" s="78">
        <v>0</v>
      </c>
      <c r="E35" s="78">
        <v>0</v>
      </c>
      <c r="F35" s="78">
        <v>19881</v>
      </c>
      <c r="G35" s="78">
        <v>0</v>
      </c>
      <c r="H35" s="78">
        <v>0</v>
      </c>
      <c r="I35" s="78">
        <v>0</v>
      </c>
      <c r="J35" s="78">
        <v>497</v>
      </c>
      <c r="K35" s="80">
        <f t="shared" si="7"/>
        <v>229137</v>
      </c>
      <c r="L35" s="77"/>
      <c r="R35" s="49" t="s">
        <v>119</v>
      </c>
      <c r="S35" s="50">
        <f>L15</f>
        <v>9704.3916494845307</v>
      </c>
      <c r="T35" s="130">
        <f t="shared" si="6"/>
        <v>9.7043916494845313</v>
      </c>
      <c r="U35" s="53"/>
    </row>
    <row r="36" spans="2:39" ht="15.75" thickBot="1" x14ac:dyDescent="0.3">
      <c r="B36" s="19" t="s">
        <v>39</v>
      </c>
      <c r="C36" s="78">
        <v>2946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7944</v>
      </c>
      <c r="J36" s="78">
        <v>24018</v>
      </c>
      <c r="K36" s="80">
        <f t="shared" si="7"/>
        <v>34908</v>
      </c>
      <c r="L36" s="77"/>
      <c r="R36" s="54" t="s">
        <v>120</v>
      </c>
      <c r="S36" s="131">
        <f>L16</f>
        <v>0</v>
      </c>
      <c r="T36" s="132">
        <f t="shared" si="6"/>
        <v>0</v>
      </c>
    </row>
    <row r="37" spans="2:39" ht="17.25" x14ac:dyDescent="0.4">
      <c r="B37" s="19" t="s">
        <v>40</v>
      </c>
      <c r="C37" s="78">
        <v>1145</v>
      </c>
      <c r="D37" s="78">
        <v>0</v>
      </c>
      <c r="E37" s="78">
        <v>0</v>
      </c>
      <c r="F37" s="78">
        <v>0</v>
      </c>
      <c r="G37" s="82">
        <v>51996</v>
      </c>
      <c r="H37" s="78">
        <v>0</v>
      </c>
      <c r="I37" s="78">
        <v>11219</v>
      </c>
      <c r="J37" s="78">
        <v>51542</v>
      </c>
      <c r="K37" s="117">
        <f t="shared" si="7"/>
        <v>115902</v>
      </c>
      <c r="L37" s="77"/>
      <c r="R37" s="125" t="s">
        <v>121</v>
      </c>
      <c r="S37" s="133">
        <f>SUM(S30:S36)</f>
        <v>47558.3129032258</v>
      </c>
      <c r="T37" s="134">
        <f>SUM(T30:T36)</f>
        <v>47.558312903225797</v>
      </c>
      <c r="U37"/>
    </row>
    <row r="38" spans="2:39" ht="17.25" x14ac:dyDescent="0.4">
      <c r="B38" s="19" t="s">
        <v>41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82">
        <v>28036</v>
      </c>
      <c r="J38" s="78">
        <v>9298</v>
      </c>
      <c r="K38" s="117">
        <f t="shared" si="7"/>
        <v>37334</v>
      </c>
      <c r="L38" s="108"/>
      <c r="N38" s="6"/>
      <c r="O38" s="6"/>
      <c r="P38" s="6"/>
      <c r="Q38" s="6"/>
      <c r="R38" s="125" t="s">
        <v>122</v>
      </c>
      <c r="S38"/>
      <c r="T38" s="58">
        <f>T28+T37+T21</f>
        <v>837.71809068100345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2:39" x14ac:dyDescent="0.25">
      <c r="B39" s="19" t="s">
        <v>42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6663</v>
      </c>
      <c r="K39" s="80">
        <f t="shared" si="7"/>
        <v>6663</v>
      </c>
      <c r="L39" s="77"/>
      <c r="R39" s="1" t="s">
        <v>123</v>
      </c>
      <c r="S39"/>
      <c r="T39" s="135">
        <f>T19-T38</f>
        <v>10.309278350515569</v>
      </c>
      <c r="U39" s="136"/>
    </row>
    <row r="40" spans="2:39" ht="17.25" x14ac:dyDescent="0.4">
      <c r="B40" s="19" t="s">
        <v>43</v>
      </c>
      <c r="C40" s="72">
        <f>SUM(C32:C39)</f>
        <v>265175</v>
      </c>
      <c r="D40" s="72">
        <f t="shared" ref="D40:J40" si="8">SUM(D32:D39)</f>
        <v>0</v>
      </c>
      <c r="E40" s="75">
        <f t="shared" si="8"/>
        <v>10005.777777777777</v>
      </c>
      <c r="F40" s="72">
        <f t="shared" si="8"/>
        <v>24539</v>
      </c>
      <c r="G40" s="75">
        <f t="shared" si="8"/>
        <v>56996</v>
      </c>
      <c r="H40" s="72">
        <f t="shared" si="8"/>
        <v>0</v>
      </c>
      <c r="I40" s="75">
        <f t="shared" si="8"/>
        <v>68928</v>
      </c>
      <c r="J40" s="72">
        <f t="shared" si="8"/>
        <v>364516</v>
      </c>
      <c r="K40" s="80">
        <f t="shared" si="7"/>
        <v>790159.77777777775</v>
      </c>
      <c r="L40" s="77"/>
    </row>
    <row r="41" spans="2:39" x14ac:dyDescent="0.25">
      <c r="B41" s="19" t="s">
        <v>44</v>
      </c>
      <c r="C41" s="72">
        <f>SUM(C37:C39)</f>
        <v>1145</v>
      </c>
      <c r="D41" s="72">
        <f t="shared" ref="D41:K41" si="9">SUM(D37:D39)</f>
        <v>0</v>
      </c>
      <c r="E41" s="72">
        <f t="shared" si="9"/>
        <v>0</v>
      </c>
      <c r="F41" s="72">
        <f t="shared" si="9"/>
        <v>0</v>
      </c>
      <c r="G41" s="72">
        <f t="shared" si="9"/>
        <v>51996</v>
      </c>
      <c r="H41" s="72">
        <f t="shared" si="9"/>
        <v>0</v>
      </c>
      <c r="I41" s="72">
        <f t="shared" si="9"/>
        <v>39255</v>
      </c>
      <c r="J41" s="72">
        <f t="shared" si="9"/>
        <v>67503</v>
      </c>
      <c r="K41" s="72">
        <f t="shared" si="9"/>
        <v>159899</v>
      </c>
      <c r="L41" s="77"/>
    </row>
    <row r="42" spans="2:39" x14ac:dyDescent="0.25">
      <c r="B42" s="24"/>
      <c r="C42" s="20"/>
      <c r="D42" s="20"/>
      <c r="E42" s="20"/>
      <c r="F42" s="20"/>
      <c r="G42" s="20"/>
      <c r="H42" s="20"/>
      <c r="I42" s="20"/>
      <c r="J42" s="20"/>
      <c r="K42" s="25"/>
      <c r="L42" s="34"/>
    </row>
    <row r="43" spans="2:39" ht="15.75" thickBot="1" x14ac:dyDescent="0.3">
      <c r="B43" s="43"/>
      <c r="C43" s="36"/>
      <c r="D43" s="36"/>
      <c r="E43" s="36"/>
      <c r="F43" s="36"/>
      <c r="G43" s="36"/>
      <c r="H43" s="36"/>
      <c r="I43" s="36"/>
      <c r="J43" s="36"/>
      <c r="K43" s="37"/>
      <c r="L43" s="34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3"/>
  <sheetViews>
    <sheetView zoomScale="60" zoomScaleNormal="60" workbookViewId="0">
      <selection activeCell="J28" sqref="J28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4.85546875" style="1" bestFit="1" customWidth="1"/>
    <col min="4" max="5" width="9.28515625" style="1" bestFit="1" customWidth="1"/>
    <col min="6" max="6" width="13.5703125" style="1" bestFit="1" customWidth="1"/>
    <col min="7" max="7" width="14.85546875" style="1" bestFit="1" customWidth="1"/>
    <col min="8" max="8" width="9.28515625" style="1" bestFit="1" customWidth="1"/>
    <col min="9" max="9" width="27.140625" style="1" customWidth="1"/>
    <col min="10" max="10" width="17.7109375" style="1" customWidth="1"/>
    <col min="11" max="11" width="20.42578125" style="1" customWidth="1"/>
    <col min="12" max="12" width="21.85546875" style="1" customWidth="1"/>
    <col min="13" max="13" width="25.5703125" style="1" customWidth="1"/>
    <col min="14" max="14" width="9.140625" style="1"/>
    <col min="15" max="15" width="10.7109375" style="1" bestFit="1" customWidth="1"/>
    <col min="16" max="17" width="9.140625" style="1"/>
    <col min="18" max="18" width="39" style="1" bestFit="1" customWidth="1"/>
    <col min="19" max="19" width="13" style="1" bestFit="1" customWidth="1"/>
    <col min="20" max="16384" width="9.140625" style="1"/>
  </cols>
  <sheetData>
    <row r="1" spans="2:22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4"/>
      <c r="I1" s="5" t="s">
        <v>2</v>
      </c>
      <c r="J1" s="5" t="s">
        <v>3</v>
      </c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1"/>
    </row>
    <row r="2" spans="2:22" s="7" customFormat="1" ht="60" x14ac:dyDescent="0.25">
      <c r="B2" s="8"/>
      <c r="C2" s="9" t="s">
        <v>58</v>
      </c>
      <c r="D2" s="9" t="s">
        <v>53</v>
      </c>
      <c r="E2" s="9" t="s">
        <v>56</v>
      </c>
      <c r="F2" s="10" t="s">
        <v>57</v>
      </c>
      <c r="G2" s="10" t="s">
        <v>102</v>
      </c>
      <c r="H2" s="10" t="s">
        <v>25</v>
      </c>
      <c r="I2" s="11" t="s">
        <v>4</v>
      </c>
      <c r="J2" s="11" t="s">
        <v>5</v>
      </c>
      <c r="L2" s="12" t="s">
        <v>6</v>
      </c>
      <c r="M2" s="13"/>
      <c r="N2" s="6"/>
      <c r="O2" s="6"/>
      <c r="P2" s="6"/>
      <c r="Q2" s="6"/>
      <c r="R2" s="6"/>
      <c r="S2" s="6"/>
      <c r="T2" s="6"/>
      <c r="U2" s="6"/>
      <c r="V2" s="1"/>
    </row>
    <row r="3" spans="2:22" s="7" customFormat="1" x14ac:dyDescent="0.25">
      <c r="B3" s="14" t="s">
        <v>7</v>
      </c>
      <c r="C3" s="15"/>
      <c r="D3" s="15"/>
      <c r="E3" s="15"/>
      <c r="F3" s="15"/>
      <c r="G3" s="15"/>
      <c r="H3" s="15"/>
      <c r="I3" s="16"/>
      <c r="J3" s="16"/>
      <c r="K3" s="17"/>
      <c r="L3" s="18"/>
      <c r="M3" s="1"/>
      <c r="N3" s="6"/>
      <c r="O3" s="6"/>
      <c r="P3" s="6"/>
      <c r="Q3" s="6"/>
      <c r="T3" s="7" t="s">
        <v>48</v>
      </c>
      <c r="V3" s="1"/>
    </row>
    <row r="4" spans="2:22" s="7" customFormat="1" x14ac:dyDescent="0.25">
      <c r="B4" s="19" t="s">
        <v>8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f>SUM(C4:H4)</f>
        <v>0</v>
      </c>
      <c r="J4" s="78">
        <v>0</v>
      </c>
      <c r="K4" s="137">
        <f>J4/(J4+J5)</f>
        <v>0</v>
      </c>
      <c r="L4" s="80">
        <f>I4-J4</f>
        <v>0</v>
      </c>
      <c r="M4" s="1"/>
      <c r="N4" s="6"/>
      <c r="O4" s="6"/>
      <c r="P4" s="6"/>
      <c r="Q4" s="6"/>
      <c r="R4" s="49" t="s">
        <v>103</v>
      </c>
      <c r="S4" s="21">
        <f>K20</f>
        <v>105403.3629032258</v>
      </c>
      <c r="T4" s="123">
        <f>S4/1000</f>
        <v>105.4033629032258</v>
      </c>
      <c r="U4" s="124"/>
      <c r="V4" s="1"/>
    </row>
    <row r="5" spans="2:22" s="7" customFormat="1" x14ac:dyDescent="0.25">
      <c r="B5" s="19" t="s">
        <v>9</v>
      </c>
      <c r="C5" s="77">
        <v>378</v>
      </c>
      <c r="D5" s="77">
        <v>0</v>
      </c>
      <c r="E5" s="77">
        <v>0</v>
      </c>
      <c r="F5" s="77">
        <v>0</v>
      </c>
      <c r="G5" s="77">
        <v>51452</v>
      </c>
      <c r="H5" s="77">
        <v>0</v>
      </c>
      <c r="I5" s="77">
        <f t="shared" ref="I5:I10" si="0">SUM(C5:H5)</f>
        <v>51830</v>
      </c>
      <c r="J5" s="78">
        <v>44794</v>
      </c>
      <c r="K5" s="137">
        <f>J5/(J4+J5)</f>
        <v>1</v>
      </c>
      <c r="L5" s="80">
        <f>I5-J5</f>
        <v>7036</v>
      </c>
      <c r="M5" s="1"/>
      <c r="N5" s="6"/>
      <c r="O5" s="6"/>
      <c r="P5" s="6"/>
      <c r="Q5" s="6"/>
      <c r="R5" s="7" t="s">
        <v>104</v>
      </c>
      <c r="S5" s="21">
        <f>IF(J28&gt;0,0,J28)*-1</f>
        <v>113887</v>
      </c>
      <c r="T5" s="123">
        <f>S5/1000</f>
        <v>113.887</v>
      </c>
      <c r="V5" s="1"/>
    </row>
    <row r="6" spans="2:22" s="7" customFormat="1" x14ac:dyDescent="0.25">
      <c r="B6" s="19" t="s">
        <v>10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f t="shared" si="0"/>
        <v>0</v>
      </c>
      <c r="J6" s="78">
        <v>2</v>
      </c>
      <c r="K6" s="79"/>
      <c r="L6" s="80"/>
      <c r="M6" s="1"/>
      <c r="N6" s="6"/>
      <c r="O6" s="6"/>
      <c r="P6" s="6"/>
      <c r="Q6" s="6"/>
      <c r="R6" s="49" t="s">
        <v>50</v>
      </c>
      <c r="S6" s="123">
        <f>G10+G20+G40</f>
        <v>245492.5</v>
      </c>
      <c r="T6" s="123">
        <f>S6/1000</f>
        <v>245.49250000000001</v>
      </c>
      <c r="U6" s="124"/>
      <c r="V6" s="1"/>
    </row>
    <row r="7" spans="2:22" s="7" customFormat="1" x14ac:dyDescent="0.25">
      <c r="B7" s="19" t="s">
        <v>11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f t="shared" si="0"/>
        <v>0</v>
      </c>
      <c r="J7" s="78">
        <v>0</v>
      </c>
      <c r="K7" s="79"/>
      <c r="L7" s="80"/>
      <c r="M7" s="1"/>
      <c r="N7" s="6"/>
      <c r="O7" s="6"/>
      <c r="P7" s="6"/>
      <c r="Q7" s="6"/>
      <c r="R7" s="49" t="s">
        <v>53</v>
      </c>
      <c r="S7" s="123">
        <f>D10+D20</f>
        <v>0</v>
      </c>
      <c r="T7" s="123">
        <f t="shared" ref="T7:T14" si="1">S7/1000</f>
        <v>0</v>
      </c>
      <c r="U7" s="124"/>
      <c r="V7" s="1"/>
    </row>
    <row r="8" spans="2:22" s="7" customFormat="1" x14ac:dyDescent="0.25">
      <c r="B8" s="19" t="s">
        <v>12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f t="shared" si="0"/>
        <v>0</v>
      </c>
      <c r="J8" s="78">
        <v>1597</v>
      </c>
      <c r="K8" s="79"/>
      <c r="L8" s="80"/>
      <c r="M8" s="1"/>
      <c r="N8" s="6"/>
      <c r="O8" s="6"/>
      <c r="P8" s="6"/>
      <c r="Q8" s="6"/>
      <c r="S8" s="123"/>
      <c r="T8" s="123">
        <f t="shared" si="1"/>
        <v>0</v>
      </c>
      <c r="U8" s="124"/>
      <c r="V8" s="1"/>
    </row>
    <row r="9" spans="2:22" s="7" customFormat="1" x14ac:dyDescent="0.25">
      <c r="B9" s="19" t="s">
        <v>13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f t="shared" si="0"/>
        <v>0</v>
      </c>
      <c r="J9" s="78">
        <v>6207</v>
      </c>
      <c r="K9" s="79"/>
      <c r="L9" s="80"/>
      <c r="M9" s="1"/>
      <c r="N9" s="6"/>
      <c r="O9" s="6"/>
      <c r="P9" s="6"/>
      <c r="Q9" s="6"/>
      <c r="R9" s="125" t="s">
        <v>105</v>
      </c>
      <c r="S9" s="123"/>
      <c r="T9" s="123">
        <f t="shared" si="1"/>
        <v>0</v>
      </c>
      <c r="U9" s="124"/>
      <c r="V9" s="1"/>
    </row>
    <row r="10" spans="2:22" s="7" customFormat="1" x14ac:dyDescent="0.25">
      <c r="B10" s="19" t="s">
        <v>14</v>
      </c>
      <c r="C10" s="78">
        <f t="shared" ref="C10:J10" si="2">SUM(C4:C9)</f>
        <v>378</v>
      </c>
      <c r="D10" s="78">
        <f t="shared" si="2"/>
        <v>0</v>
      </c>
      <c r="E10" s="78">
        <f t="shared" si="2"/>
        <v>0</v>
      </c>
      <c r="F10" s="78">
        <f t="shared" si="2"/>
        <v>0</v>
      </c>
      <c r="G10" s="78">
        <f t="shared" si="2"/>
        <v>51452</v>
      </c>
      <c r="H10" s="78">
        <f t="shared" si="2"/>
        <v>0</v>
      </c>
      <c r="I10" s="77">
        <f t="shared" si="0"/>
        <v>51830</v>
      </c>
      <c r="J10" s="78">
        <f t="shared" si="2"/>
        <v>52600</v>
      </c>
      <c r="K10" s="79"/>
      <c r="L10" s="80">
        <f>SUM(L4:L9)</f>
        <v>7036</v>
      </c>
      <c r="M10" s="1"/>
      <c r="N10" s="6"/>
      <c r="O10" s="6"/>
      <c r="P10" s="6"/>
      <c r="Q10" s="6"/>
      <c r="R10" s="49" t="s">
        <v>55</v>
      </c>
      <c r="S10" s="123"/>
      <c r="T10" s="123">
        <f t="shared" si="1"/>
        <v>0</v>
      </c>
      <c r="U10" s="124"/>
      <c r="V10" s="1"/>
    </row>
    <row r="11" spans="2:22" s="7" customFormat="1" x14ac:dyDescent="0.25">
      <c r="B11" s="22"/>
      <c r="C11" s="83"/>
      <c r="D11" s="83"/>
      <c r="E11" s="83"/>
      <c r="F11" s="83"/>
      <c r="G11" s="83"/>
      <c r="H11" s="83"/>
      <c r="I11" s="83"/>
      <c r="J11" s="83"/>
      <c r="K11" s="84"/>
      <c r="L11" s="85"/>
      <c r="M11" s="1"/>
      <c r="N11" s="6"/>
      <c r="O11" s="6"/>
      <c r="P11" s="6"/>
      <c r="Q11" s="6"/>
      <c r="R11" s="49" t="s">
        <v>56</v>
      </c>
      <c r="S11" s="123">
        <f>E10+E20+E40</f>
        <v>0</v>
      </c>
      <c r="T11" s="123">
        <f t="shared" si="1"/>
        <v>0</v>
      </c>
      <c r="U11" s="124"/>
      <c r="V11" s="1"/>
    </row>
    <row r="12" spans="2:22" s="7" customFormat="1" x14ac:dyDescent="0.25">
      <c r="B12" s="23" t="s">
        <v>15</v>
      </c>
      <c r="C12" s="83"/>
      <c r="D12" s="83"/>
      <c r="E12" s="83"/>
      <c r="F12" s="83"/>
      <c r="G12" s="83"/>
      <c r="H12" s="83"/>
      <c r="I12" s="79"/>
      <c r="J12" s="79">
        <v>0</v>
      </c>
      <c r="K12" s="84"/>
      <c r="L12" s="85"/>
      <c r="M12" s="1"/>
      <c r="N12" s="6"/>
      <c r="O12" s="6"/>
      <c r="P12" s="6"/>
      <c r="Q12" s="6"/>
      <c r="R12" s="49" t="s">
        <v>25</v>
      </c>
      <c r="S12" s="123">
        <f>H10+H20+H40</f>
        <v>0</v>
      </c>
      <c r="T12" s="123">
        <f t="shared" si="1"/>
        <v>0</v>
      </c>
      <c r="U12" s="124"/>
      <c r="V12" s="1"/>
    </row>
    <row r="13" spans="2:22" x14ac:dyDescent="0.25">
      <c r="B13" s="24"/>
      <c r="C13" s="78"/>
      <c r="D13" s="78"/>
      <c r="E13" s="78"/>
      <c r="F13" s="78"/>
      <c r="G13" s="78"/>
      <c r="H13" s="78"/>
      <c r="I13" s="78"/>
      <c r="J13" s="78"/>
      <c r="K13" s="78"/>
      <c r="L13" s="86"/>
      <c r="M13" s="6"/>
      <c r="R13" s="49" t="s">
        <v>57</v>
      </c>
      <c r="S13" s="123">
        <f>F10+F20+F40</f>
        <v>11222</v>
      </c>
      <c r="T13" s="123">
        <f t="shared" si="1"/>
        <v>11.222</v>
      </c>
      <c r="U13" s="124"/>
    </row>
    <row r="14" spans="2:22" ht="18.75" x14ac:dyDescent="0.3">
      <c r="B14" s="26" t="s">
        <v>16</v>
      </c>
      <c r="C14" s="87"/>
      <c r="D14" s="87"/>
      <c r="E14" s="87"/>
      <c r="F14" s="87"/>
      <c r="G14" s="87"/>
      <c r="H14" s="87"/>
      <c r="I14" s="87"/>
      <c r="J14" s="88" t="s">
        <v>17</v>
      </c>
      <c r="K14" s="89" t="s">
        <v>18</v>
      </c>
      <c r="L14" s="90"/>
      <c r="M14" s="27" t="s">
        <v>19</v>
      </c>
      <c r="N14" s="28"/>
      <c r="R14" s="49" t="s">
        <v>58</v>
      </c>
      <c r="S14" s="123">
        <f>C10+C20+C40</f>
        <v>125539.5</v>
      </c>
      <c r="T14" s="123">
        <f t="shared" si="1"/>
        <v>125.5395</v>
      </c>
      <c r="U14" s="124"/>
    </row>
    <row r="15" spans="2:22" x14ac:dyDescent="0.25">
      <c r="B15" s="19" t="s">
        <v>20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91">
        <f>J15/(1-M15)</f>
        <v>0</v>
      </c>
      <c r="L15" s="92">
        <f>I15-K15</f>
        <v>0</v>
      </c>
      <c r="M15" s="29">
        <v>0.03</v>
      </c>
      <c r="O15" s="30"/>
      <c r="R15" s="125" t="s">
        <v>106</v>
      </c>
      <c r="S15" s="123">
        <f>SUM(S4:S14)</f>
        <v>601544.36290322582</v>
      </c>
      <c r="T15" s="123">
        <f>SUM(T4:T14)</f>
        <v>601.54436290322576</v>
      </c>
      <c r="U15" s="124"/>
    </row>
    <row r="16" spans="2:22" x14ac:dyDescent="0.25">
      <c r="B16" s="19" t="s">
        <v>21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91">
        <f>J16/(1-M16)</f>
        <v>0</v>
      </c>
      <c r="L16" s="92">
        <f>I16-K16</f>
        <v>0</v>
      </c>
      <c r="M16" s="29">
        <v>0.03</v>
      </c>
      <c r="O16" s="30"/>
      <c r="R16" t="s">
        <v>107</v>
      </c>
      <c r="S16" s="57">
        <f>J8</f>
        <v>1597</v>
      </c>
      <c r="T16" s="57">
        <f>S16/1000</f>
        <v>1.597</v>
      </c>
      <c r="U16" s="124"/>
    </row>
    <row r="17" spans="2:22" x14ac:dyDescent="0.25">
      <c r="B17" s="19" t="s">
        <v>22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91">
        <f>J17/(1-M17)</f>
        <v>0</v>
      </c>
      <c r="L17" s="92">
        <f>I17-K17</f>
        <v>0</v>
      </c>
      <c r="M17" s="29">
        <v>0.03</v>
      </c>
      <c r="O17" s="30"/>
      <c r="R17" t="s">
        <v>108</v>
      </c>
      <c r="S17" s="57">
        <f>J9</f>
        <v>6207</v>
      </c>
      <c r="T17" s="57">
        <f t="shared" ref="T17:T18" si="3">S17/1000</f>
        <v>6.2069999999999999</v>
      </c>
      <c r="U17" s="124"/>
      <c r="V17" s="6"/>
    </row>
    <row r="18" spans="2:22" x14ac:dyDescent="0.25">
      <c r="B18" s="19" t="s">
        <v>23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86597</v>
      </c>
      <c r="K18" s="91">
        <f>J18/(1-M18)</f>
        <v>87295.362903225803</v>
      </c>
      <c r="L18" s="92"/>
      <c r="M18" s="31">
        <v>8.0000000000000002E-3</v>
      </c>
      <c r="O18" s="30"/>
      <c r="R18" t="s">
        <v>109</v>
      </c>
      <c r="S18" s="57">
        <f>J6+J7</f>
        <v>2</v>
      </c>
      <c r="T18" s="57">
        <f t="shared" si="3"/>
        <v>2E-3</v>
      </c>
      <c r="U18"/>
    </row>
    <row r="19" spans="2:22" ht="17.25" x14ac:dyDescent="0.4">
      <c r="B19" s="19" t="s">
        <v>24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82">
        <v>18108</v>
      </c>
      <c r="K19" s="91">
        <f>J19/(1-M19)</f>
        <v>18108</v>
      </c>
      <c r="L19" s="92"/>
      <c r="M19" s="1">
        <v>0</v>
      </c>
      <c r="O19" s="30"/>
      <c r="R19" t="s">
        <v>110</v>
      </c>
      <c r="S19" s="57">
        <f>SUM(S15:S18)</f>
        <v>609350.36290322582</v>
      </c>
      <c r="T19" s="57">
        <f>SUM(T15:T18)</f>
        <v>609.35036290322569</v>
      </c>
      <c r="U19"/>
    </row>
    <row r="20" spans="2:22" ht="17.25" x14ac:dyDescent="0.4">
      <c r="B20" s="19" t="s">
        <v>14</v>
      </c>
      <c r="C20" s="78">
        <f t="shared" ref="C20:I20" si="4">SUM(C15:C19)</f>
        <v>0</v>
      </c>
      <c r="D20" s="78">
        <f t="shared" si="4"/>
        <v>0</v>
      </c>
      <c r="E20" s="78">
        <f t="shared" si="4"/>
        <v>0</v>
      </c>
      <c r="F20" s="78">
        <f t="shared" si="4"/>
        <v>0</v>
      </c>
      <c r="G20" s="78">
        <f t="shared" si="4"/>
        <v>0</v>
      </c>
      <c r="H20" s="78">
        <f t="shared" si="4"/>
        <v>0</v>
      </c>
      <c r="I20" s="78">
        <f t="shared" si="4"/>
        <v>0</v>
      </c>
      <c r="J20" s="82">
        <f>SUM(J15:J19)</f>
        <v>104705</v>
      </c>
      <c r="K20" s="93">
        <f>SUM(K15:K19)</f>
        <v>105403.3629032258</v>
      </c>
      <c r="L20" s="93">
        <f>SUM(L15:L19)</f>
        <v>0</v>
      </c>
      <c r="M20" s="32"/>
      <c r="N20" s="33"/>
      <c r="O20" s="30"/>
      <c r="R20"/>
      <c r="S20"/>
      <c r="T20"/>
      <c r="U20"/>
    </row>
    <row r="21" spans="2:22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7"/>
      <c r="L21" s="86"/>
      <c r="M21" s="30"/>
      <c r="R21" s="19" t="s">
        <v>111</v>
      </c>
      <c r="S21" s="21">
        <f>IF(J28&lt;0,0,J28)</f>
        <v>0</v>
      </c>
      <c r="T21" s="123">
        <f t="shared" ref="T21:T27" si="5">S21/1000</f>
        <v>0</v>
      </c>
      <c r="U21" s="124"/>
    </row>
    <row r="22" spans="2:22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86"/>
      <c r="R22" s="19" t="s">
        <v>35</v>
      </c>
      <c r="S22" s="126">
        <f>K32</f>
        <v>7705</v>
      </c>
      <c r="T22" s="123">
        <f t="shared" si="5"/>
        <v>7.7050000000000001</v>
      </c>
      <c r="U22" s="124"/>
    </row>
    <row r="23" spans="2:22" ht="15.75" thickBot="1" x14ac:dyDescent="0.3">
      <c r="B23" s="35" t="s">
        <v>25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R23" s="19" t="s">
        <v>36</v>
      </c>
      <c r="S23" s="126">
        <f>K33</f>
        <v>197665</v>
      </c>
      <c r="T23" s="123">
        <f t="shared" si="5"/>
        <v>197.66499999999999</v>
      </c>
      <c r="U23" s="124"/>
    </row>
    <row r="24" spans="2:22" x14ac:dyDescent="0.25">
      <c r="C24" s="77"/>
      <c r="D24" s="77"/>
      <c r="E24" s="77"/>
      <c r="F24" s="77"/>
      <c r="G24" s="77"/>
      <c r="H24" s="77"/>
      <c r="I24" s="77"/>
      <c r="J24" s="77"/>
      <c r="K24" s="77"/>
      <c r="L24" s="77"/>
      <c r="R24" s="19" t="s">
        <v>37</v>
      </c>
      <c r="S24" s="126">
        <f>K34</f>
        <v>26795</v>
      </c>
      <c r="T24" s="123">
        <f t="shared" si="5"/>
        <v>26.795000000000002</v>
      </c>
      <c r="U24" s="124"/>
    </row>
    <row r="25" spans="2:22" ht="15.75" thickBot="1" x14ac:dyDescent="0.3">
      <c r="C25" s="77"/>
      <c r="D25" s="77"/>
      <c r="E25" s="77"/>
      <c r="F25" s="77"/>
      <c r="G25" s="77"/>
      <c r="H25" s="77"/>
      <c r="I25" s="77"/>
      <c r="J25" s="77"/>
      <c r="K25" s="77"/>
      <c r="L25" s="77"/>
      <c r="R25" s="19" t="s">
        <v>38</v>
      </c>
      <c r="S25" s="126">
        <f>K35</f>
        <v>123494</v>
      </c>
      <c r="T25" s="123">
        <f t="shared" si="5"/>
        <v>123.494</v>
      </c>
      <c r="U25" s="124"/>
    </row>
    <row r="26" spans="2:22" x14ac:dyDescent="0.25">
      <c r="B26" s="8"/>
      <c r="C26" s="96"/>
      <c r="D26" s="96"/>
      <c r="E26" s="96"/>
      <c r="F26" s="96"/>
      <c r="G26" s="96"/>
      <c r="H26" s="77"/>
      <c r="I26" s="97" t="s">
        <v>26</v>
      </c>
      <c r="J26" s="98" t="s">
        <v>27</v>
      </c>
      <c r="K26" s="77"/>
      <c r="L26" s="77"/>
      <c r="M26" s="38" t="s">
        <v>28</v>
      </c>
      <c r="R26" s="19" t="s">
        <v>39</v>
      </c>
      <c r="S26" s="126">
        <f>K36</f>
        <v>52211</v>
      </c>
      <c r="T26" s="123">
        <f t="shared" si="5"/>
        <v>52.210999999999999</v>
      </c>
      <c r="U26" s="124"/>
    </row>
    <row r="27" spans="2:22" x14ac:dyDescent="0.25">
      <c r="B27" s="39" t="s">
        <v>29</v>
      </c>
      <c r="C27" s="78"/>
      <c r="D27" s="78"/>
      <c r="E27" s="78"/>
      <c r="F27" s="78"/>
      <c r="G27" s="78"/>
      <c r="H27" s="77"/>
      <c r="I27" s="72">
        <f>J10-I40</f>
        <v>11099</v>
      </c>
      <c r="J27" s="80">
        <f>J40*8%</f>
        <v>16192</v>
      </c>
      <c r="K27" s="77"/>
      <c r="L27" s="77"/>
      <c r="M27" s="40">
        <f>100-(I40/J10*100)</f>
        <v>21.100760456273761</v>
      </c>
      <c r="R27" s="19" t="s">
        <v>44</v>
      </c>
      <c r="S27" s="126">
        <f>K41</f>
        <v>166455</v>
      </c>
      <c r="T27" s="123">
        <f t="shared" si="5"/>
        <v>166.45500000000001</v>
      </c>
      <c r="U27" s="124"/>
    </row>
    <row r="28" spans="2:22" ht="15.75" thickBot="1" x14ac:dyDescent="0.3">
      <c r="B28" s="35" t="s">
        <v>30</v>
      </c>
      <c r="C28" s="94"/>
      <c r="D28" s="94"/>
      <c r="E28" s="94"/>
      <c r="F28" s="94"/>
      <c r="G28" s="94"/>
      <c r="H28" s="94"/>
      <c r="I28" s="99">
        <f>I40+I27-J10</f>
        <v>0</v>
      </c>
      <c r="J28" s="122">
        <f>J20-J27-J40</f>
        <v>-113887</v>
      </c>
      <c r="K28" s="77"/>
      <c r="L28" s="77"/>
      <c r="M28" s="1" t="str">
        <f>IF(M27&gt;10,"OBS! HÖGA FÖRLUSTER","OK")</f>
        <v>OBS! HÖGA FÖRLUSTER</v>
      </c>
      <c r="R28" s="19" t="s">
        <v>112</v>
      </c>
      <c r="S28" s="58">
        <f>SUM(S22:S27)</f>
        <v>574325</v>
      </c>
      <c r="T28" s="58">
        <f>SUM(T22:T27)</f>
        <v>574.32500000000005</v>
      </c>
      <c r="U28" s="124"/>
    </row>
    <row r="29" spans="2:22" ht="15.75" thickBot="1" x14ac:dyDescent="0.3">
      <c r="C29" s="77"/>
      <c r="D29" s="77"/>
      <c r="E29" s="77"/>
      <c r="F29" s="77"/>
      <c r="G29" s="77"/>
      <c r="H29" s="77"/>
      <c r="I29" s="77"/>
      <c r="J29" s="77"/>
      <c r="K29" s="77"/>
      <c r="L29" s="77"/>
      <c r="R29" s="127" t="s">
        <v>113</v>
      </c>
      <c r="S29" s="128"/>
      <c r="T29" s="129">
        <f t="shared" ref="T29:T36" si="6">S29/1000</f>
        <v>0</v>
      </c>
      <c r="U29" s="48"/>
    </row>
    <row r="30" spans="2:22" ht="15.75" thickBot="1" x14ac:dyDescent="0.3">
      <c r="B30" s="8"/>
      <c r="C30" s="100" t="s">
        <v>0</v>
      </c>
      <c r="D30" s="100"/>
      <c r="E30" s="100"/>
      <c r="F30" s="100" t="s">
        <v>1</v>
      </c>
      <c r="G30" s="100"/>
      <c r="H30" s="96"/>
      <c r="I30" s="96"/>
      <c r="J30" s="96"/>
      <c r="K30" s="101"/>
      <c r="L30" s="77"/>
      <c r="R30" s="49" t="s">
        <v>114</v>
      </c>
      <c r="S30" s="50">
        <f>J27</f>
        <v>16192</v>
      </c>
      <c r="T30" s="130">
        <f t="shared" si="6"/>
        <v>16.192</v>
      </c>
      <c r="U30" s="53"/>
    </row>
    <row r="31" spans="2:22" ht="30" x14ac:dyDescent="0.25">
      <c r="B31" s="41" t="s">
        <v>31</v>
      </c>
      <c r="C31" s="102" t="s">
        <v>58</v>
      </c>
      <c r="D31" s="102" t="s">
        <v>53</v>
      </c>
      <c r="E31" s="102" t="s">
        <v>56</v>
      </c>
      <c r="F31" s="103" t="s">
        <v>57</v>
      </c>
      <c r="G31" s="103" t="s">
        <v>102</v>
      </c>
      <c r="H31" s="103" t="s">
        <v>25</v>
      </c>
      <c r="I31" s="104" t="s">
        <v>32</v>
      </c>
      <c r="J31" s="104" t="s">
        <v>33</v>
      </c>
      <c r="K31" s="105" t="s">
        <v>34</v>
      </c>
      <c r="L31" s="77"/>
      <c r="R31" s="49" t="s">
        <v>115</v>
      </c>
      <c r="S31" s="50">
        <f>I27</f>
        <v>11099</v>
      </c>
      <c r="T31" s="130">
        <f t="shared" si="6"/>
        <v>11.099</v>
      </c>
      <c r="U31" s="53"/>
    </row>
    <row r="32" spans="2:22" ht="17.25" x14ac:dyDescent="0.4">
      <c r="B32" s="19" t="s">
        <v>35</v>
      </c>
      <c r="C32" s="82">
        <v>4618.5</v>
      </c>
      <c r="D32" s="78">
        <v>0</v>
      </c>
      <c r="E32" s="78">
        <v>0</v>
      </c>
      <c r="F32" s="82">
        <v>444.5</v>
      </c>
      <c r="G32" s="78">
        <v>0</v>
      </c>
      <c r="H32" s="78">
        <v>0</v>
      </c>
      <c r="I32" s="78">
        <v>0</v>
      </c>
      <c r="J32" s="78">
        <v>2642</v>
      </c>
      <c r="K32" s="117">
        <f>SUM(C32:J32)</f>
        <v>7705</v>
      </c>
      <c r="L32" s="77"/>
      <c r="R32" s="49" t="s">
        <v>116</v>
      </c>
      <c r="S32" s="50">
        <f>K20-J20</f>
        <v>698.36290322580317</v>
      </c>
      <c r="T32" s="130">
        <f t="shared" si="6"/>
        <v>0.69836290322580319</v>
      </c>
      <c r="U32"/>
    </row>
    <row r="33" spans="2:39" ht="17.25" x14ac:dyDescent="0.4">
      <c r="B33" s="19" t="s">
        <v>36</v>
      </c>
      <c r="C33" s="82">
        <v>5000</v>
      </c>
      <c r="D33" s="78">
        <v>0</v>
      </c>
      <c r="E33" s="78">
        <v>0</v>
      </c>
      <c r="F33" s="82">
        <v>974.5</v>
      </c>
      <c r="G33" s="82">
        <v>142406.5</v>
      </c>
      <c r="H33" s="78">
        <v>0</v>
      </c>
      <c r="I33" s="78">
        <v>1842</v>
      </c>
      <c r="J33" s="78">
        <v>47442</v>
      </c>
      <c r="K33" s="117">
        <f t="shared" ref="K33:K40" si="7">SUM(C33:J33)</f>
        <v>197665</v>
      </c>
      <c r="L33" s="77"/>
      <c r="R33" s="49" t="s">
        <v>117</v>
      </c>
      <c r="S33" s="50">
        <f>L4</f>
        <v>0</v>
      </c>
      <c r="T33" s="130">
        <f t="shared" si="6"/>
        <v>0</v>
      </c>
      <c r="U33" s="53"/>
    </row>
    <row r="34" spans="2:39" x14ac:dyDescent="0.25">
      <c r="B34" s="19" t="s">
        <v>37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9319</v>
      </c>
      <c r="J34" s="78">
        <v>17476</v>
      </c>
      <c r="K34" s="80">
        <f t="shared" si="7"/>
        <v>26795</v>
      </c>
      <c r="L34" s="77"/>
      <c r="R34" s="49" t="s">
        <v>118</v>
      </c>
      <c r="S34" s="50">
        <f>L5</f>
        <v>7036</v>
      </c>
      <c r="T34" s="130">
        <f t="shared" si="6"/>
        <v>7.0359999999999996</v>
      </c>
      <c r="U34" s="53"/>
    </row>
    <row r="35" spans="2:39" x14ac:dyDescent="0.25">
      <c r="B35" s="19" t="s">
        <v>38</v>
      </c>
      <c r="C35" s="78">
        <v>112927</v>
      </c>
      <c r="D35" s="78">
        <v>0</v>
      </c>
      <c r="E35" s="78">
        <v>0</v>
      </c>
      <c r="F35" s="78">
        <v>9803</v>
      </c>
      <c r="G35" s="78">
        <v>0</v>
      </c>
      <c r="H35" s="78">
        <v>0</v>
      </c>
      <c r="I35" s="78">
        <v>0</v>
      </c>
      <c r="J35" s="78">
        <v>764</v>
      </c>
      <c r="K35" s="80">
        <f t="shared" si="7"/>
        <v>123494</v>
      </c>
      <c r="L35" s="77"/>
      <c r="R35" s="49" t="s">
        <v>119</v>
      </c>
      <c r="S35" s="50">
        <f>L15</f>
        <v>0</v>
      </c>
      <c r="T35" s="130">
        <f t="shared" si="6"/>
        <v>0</v>
      </c>
      <c r="U35" s="53"/>
    </row>
    <row r="36" spans="2:39" ht="15.75" thickBot="1" x14ac:dyDescent="0.3">
      <c r="B36" s="19" t="s">
        <v>39</v>
      </c>
      <c r="C36" s="78">
        <v>1456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10303</v>
      </c>
      <c r="J36" s="78">
        <v>40452</v>
      </c>
      <c r="K36" s="80">
        <f t="shared" si="7"/>
        <v>52211</v>
      </c>
      <c r="L36" s="77"/>
      <c r="R36" s="54" t="s">
        <v>120</v>
      </c>
      <c r="S36" s="131">
        <f>L16</f>
        <v>0</v>
      </c>
      <c r="T36" s="132">
        <f t="shared" si="6"/>
        <v>0</v>
      </c>
    </row>
    <row r="37" spans="2:39" x14ac:dyDescent="0.25">
      <c r="B37" s="19" t="s">
        <v>40</v>
      </c>
      <c r="C37" s="78">
        <v>1090</v>
      </c>
      <c r="D37" s="78">
        <v>0</v>
      </c>
      <c r="E37" s="78">
        <v>0</v>
      </c>
      <c r="F37" s="78">
        <v>0</v>
      </c>
      <c r="G37" s="78">
        <v>51634</v>
      </c>
      <c r="H37" s="78">
        <v>0</v>
      </c>
      <c r="I37" s="78">
        <v>5485</v>
      </c>
      <c r="J37" s="78">
        <v>70359</v>
      </c>
      <c r="K37" s="80">
        <f t="shared" si="7"/>
        <v>128568</v>
      </c>
      <c r="L37" s="77"/>
      <c r="R37" s="125" t="s">
        <v>121</v>
      </c>
      <c r="S37" s="133">
        <f>SUM(S30:S36)</f>
        <v>35025.362903225803</v>
      </c>
      <c r="T37" s="134">
        <f>SUM(T30:T36)</f>
        <v>35.025362903225805</v>
      </c>
      <c r="U37"/>
    </row>
    <row r="38" spans="2:39" x14ac:dyDescent="0.25">
      <c r="B38" s="19" t="s">
        <v>41</v>
      </c>
      <c r="C38" s="78">
        <v>70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14552</v>
      </c>
      <c r="J38" s="78">
        <v>5989</v>
      </c>
      <c r="K38" s="80">
        <f t="shared" si="7"/>
        <v>20611</v>
      </c>
      <c r="L38" s="108"/>
      <c r="N38" s="6"/>
      <c r="O38" s="6"/>
      <c r="P38" s="6"/>
      <c r="Q38" s="6"/>
      <c r="R38" s="125" t="s">
        <v>122</v>
      </c>
      <c r="S38"/>
      <c r="T38" s="58">
        <f>T28+T37+T21</f>
        <v>609.3503629032258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2:39" x14ac:dyDescent="0.25">
      <c r="B39" s="19" t="s">
        <v>42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17276</v>
      </c>
      <c r="K39" s="80">
        <f t="shared" si="7"/>
        <v>17276</v>
      </c>
      <c r="L39" s="77"/>
      <c r="R39" s="1" t="s">
        <v>123</v>
      </c>
      <c r="S39"/>
      <c r="T39" s="135">
        <f>T19-T38</f>
        <v>0</v>
      </c>
      <c r="U39" s="136"/>
    </row>
    <row r="40" spans="2:39" ht="17.25" x14ac:dyDescent="0.4">
      <c r="B40" s="19" t="s">
        <v>43</v>
      </c>
      <c r="C40" s="75">
        <f>SUM(C32:C39)</f>
        <v>125161.5</v>
      </c>
      <c r="D40" s="72">
        <f t="shared" ref="D40:J40" si="8">SUM(D32:D39)</f>
        <v>0</v>
      </c>
      <c r="E40" s="72">
        <f t="shared" si="8"/>
        <v>0</v>
      </c>
      <c r="F40" s="72">
        <f t="shared" si="8"/>
        <v>11222</v>
      </c>
      <c r="G40" s="75">
        <f t="shared" si="8"/>
        <v>194040.5</v>
      </c>
      <c r="H40" s="72">
        <f t="shared" si="8"/>
        <v>0</v>
      </c>
      <c r="I40" s="72">
        <f t="shared" si="8"/>
        <v>41501</v>
      </c>
      <c r="J40" s="72">
        <f t="shared" si="8"/>
        <v>202400</v>
      </c>
      <c r="K40" s="80">
        <f t="shared" si="7"/>
        <v>574325</v>
      </c>
      <c r="L40" s="77"/>
    </row>
    <row r="41" spans="2:39" x14ac:dyDescent="0.25">
      <c r="B41" s="19" t="s">
        <v>44</v>
      </c>
      <c r="C41" s="72">
        <f>SUM(C37:C39)</f>
        <v>1160</v>
      </c>
      <c r="D41" s="72">
        <f t="shared" ref="D41:K41" si="9">SUM(D37:D39)</f>
        <v>0</v>
      </c>
      <c r="E41" s="72">
        <f t="shared" si="9"/>
        <v>0</v>
      </c>
      <c r="F41" s="72">
        <f t="shared" si="9"/>
        <v>0</v>
      </c>
      <c r="G41" s="72">
        <f t="shared" si="9"/>
        <v>51634</v>
      </c>
      <c r="H41" s="72">
        <f t="shared" si="9"/>
        <v>0</v>
      </c>
      <c r="I41" s="72">
        <f t="shared" si="9"/>
        <v>20037</v>
      </c>
      <c r="J41" s="72">
        <f t="shared" si="9"/>
        <v>93624</v>
      </c>
      <c r="K41" s="72">
        <f t="shared" si="9"/>
        <v>166455</v>
      </c>
      <c r="L41" s="77"/>
    </row>
    <row r="42" spans="2:39" x14ac:dyDescent="0.25">
      <c r="B42" s="24"/>
      <c r="C42" s="118"/>
      <c r="D42" s="118"/>
      <c r="E42" s="118"/>
      <c r="F42" s="118"/>
      <c r="G42" s="118"/>
      <c r="H42" s="118"/>
      <c r="I42" s="118"/>
      <c r="J42" s="118"/>
      <c r="K42" s="119"/>
      <c r="L42" s="120"/>
    </row>
    <row r="43" spans="2:39" ht="15.75" thickBot="1" x14ac:dyDescent="0.3">
      <c r="B43" s="43"/>
      <c r="C43" s="36"/>
      <c r="D43" s="36"/>
      <c r="E43" s="36"/>
      <c r="F43" s="36"/>
      <c r="G43" s="36"/>
      <c r="H43" s="36"/>
      <c r="I43" s="36"/>
      <c r="J43" s="36"/>
      <c r="K43" s="37"/>
      <c r="L43" s="34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5"/>
  <sheetViews>
    <sheetView zoomScale="60" zoomScaleNormal="60" workbookViewId="0">
      <selection activeCell="L19" sqref="L19"/>
    </sheetView>
  </sheetViews>
  <sheetFormatPr defaultRowHeight="15" x14ac:dyDescent="0.25"/>
  <cols>
    <col min="1" max="1" width="9.140625" style="1"/>
    <col min="2" max="2" width="44.7109375" style="1" bestFit="1" customWidth="1"/>
    <col min="3" max="3" width="16.42578125" style="1" bestFit="1" customWidth="1"/>
    <col min="4" max="4" width="9.28515625" style="1" bestFit="1" customWidth="1"/>
    <col min="5" max="5" width="13.42578125" style="1" bestFit="1" customWidth="1"/>
    <col min="6" max="6" width="14.5703125" style="1" bestFit="1" customWidth="1"/>
    <col min="7" max="7" width="15.85546875" style="1" bestFit="1" customWidth="1"/>
    <col min="8" max="8" width="13.42578125" style="1" bestFit="1" customWidth="1"/>
    <col min="9" max="9" width="27.140625" style="1" customWidth="1"/>
    <col min="10" max="10" width="17.7109375" style="1" customWidth="1"/>
    <col min="11" max="11" width="20.42578125" style="1" customWidth="1"/>
    <col min="12" max="12" width="21.85546875" style="1" customWidth="1"/>
    <col min="13" max="13" width="25.5703125" style="1" customWidth="1"/>
    <col min="14" max="14" width="9.140625" style="1"/>
    <col min="15" max="15" width="10.7109375" style="1" bestFit="1" customWidth="1"/>
    <col min="16" max="17" width="9.140625" style="1"/>
    <col min="18" max="18" width="39" style="1" bestFit="1" customWidth="1"/>
    <col min="19" max="19" width="13" style="1" bestFit="1" customWidth="1"/>
    <col min="20" max="16384" width="9.140625" style="1"/>
  </cols>
  <sheetData>
    <row r="1" spans="2:22" s="7" customFormat="1" ht="30.75" thickBot="1" x14ac:dyDescent="0.3">
      <c r="B1" s="1"/>
      <c r="C1" s="2" t="s">
        <v>0</v>
      </c>
      <c r="D1" s="2"/>
      <c r="E1" s="2"/>
      <c r="F1" s="3" t="s">
        <v>1</v>
      </c>
      <c r="G1" s="3"/>
      <c r="H1" s="4"/>
      <c r="I1" s="5" t="s">
        <v>2</v>
      </c>
      <c r="J1" s="5" t="s">
        <v>3</v>
      </c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1"/>
    </row>
    <row r="2" spans="2:22" s="7" customFormat="1" ht="60" x14ac:dyDescent="0.25">
      <c r="B2" s="8"/>
      <c r="C2" s="9" t="s">
        <v>58</v>
      </c>
      <c r="D2" s="9" t="s">
        <v>53</v>
      </c>
      <c r="E2" s="9" t="s">
        <v>56</v>
      </c>
      <c r="F2" s="10" t="s">
        <v>57</v>
      </c>
      <c r="G2" s="10" t="s">
        <v>102</v>
      </c>
      <c r="H2" s="10" t="s">
        <v>25</v>
      </c>
      <c r="I2" s="11" t="s">
        <v>4</v>
      </c>
      <c r="J2" s="11" t="s">
        <v>5</v>
      </c>
      <c r="L2" s="12" t="s">
        <v>6</v>
      </c>
      <c r="M2" s="13"/>
      <c r="N2" s="6"/>
      <c r="O2" s="6"/>
      <c r="P2" s="6"/>
      <c r="Q2" s="6"/>
      <c r="R2" s="6"/>
      <c r="S2" s="6"/>
      <c r="T2" s="6"/>
      <c r="U2" s="6"/>
      <c r="V2" s="1"/>
    </row>
    <row r="3" spans="2:22" s="7" customFormat="1" x14ac:dyDescent="0.25">
      <c r="B3" s="14" t="s">
        <v>7</v>
      </c>
      <c r="C3" s="15"/>
      <c r="D3" s="15"/>
      <c r="E3" s="15"/>
      <c r="F3" s="15"/>
      <c r="G3" s="15"/>
      <c r="H3" s="15"/>
      <c r="I3" s="16"/>
      <c r="J3" s="16"/>
      <c r="K3" s="17"/>
      <c r="L3" s="18"/>
      <c r="M3" s="1"/>
      <c r="N3" s="6"/>
      <c r="O3" s="6"/>
      <c r="P3" s="6"/>
      <c r="Q3" s="6"/>
      <c r="T3" s="7" t="s">
        <v>48</v>
      </c>
      <c r="V3" s="1"/>
    </row>
    <row r="4" spans="2:22" s="7" customFormat="1" x14ac:dyDescent="0.25">
      <c r="B4" s="19" t="s">
        <v>8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f>SUM(C4:H4)</f>
        <v>0</v>
      </c>
      <c r="J4" s="78">
        <v>0</v>
      </c>
      <c r="K4" s="137">
        <f>J4/(J4+J5)</f>
        <v>0</v>
      </c>
      <c r="L4" s="80">
        <f>I4-J4</f>
        <v>0</v>
      </c>
      <c r="M4" s="1"/>
      <c r="N4" s="6"/>
      <c r="O4" s="6"/>
      <c r="P4" s="6"/>
      <c r="Q4" s="6"/>
      <c r="R4" s="49" t="s">
        <v>103</v>
      </c>
      <c r="S4" s="21">
        <f>K20</f>
        <v>149462.09677419355</v>
      </c>
      <c r="T4" s="123">
        <f>S4/1000</f>
        <v>149.46209677419355</v>
      </c>
      <c r="U4" s="124"/>
      <c r="V4" s="1"/>
    </row>
    <row r="5" spans="2:22" s="7" customFormat="1" ht="17.25" x14ac:dyDescent="0.4">
      <c r="B5" s="19" t="s">
        <v>9</v>
      </c>
      <c r="C5" s="77">
        <v>8060</v>
      </c>
      <c r="D5" s="77">
        <v>0</v>
      </c>
      <c r="E5" s="77">
        <v>0</v>
      </c>
      <c r="F5" s="77">
        <v>0</v>
      </c>
      <c r="G5" s="77">
        <v>127983</v>
      </c>
      <c r="H5" s="81">
        <v>1296.47</v>
      </c>
      <c r="I5" s="77">
        <f t="shared" ref="I5:I10" si="0">SUM(C5:H5)</f>
        <v>137339.47</v>
      </c>
      <c r="J5" s="78">
        <v>111182</v>
      </c>
      <c r="K5" s="137">
        <f>J5/(J4+J5)</f>
        <v>1</v>
      </c>
      <c r="L5" s="80">
        <f>I5-J5</f>
        <v>26157.47</v>
      </c>
      <c r="M5" s="1"/>
      <c r="N5" s="6"/>
      <c r="O5" s="6"/>
      <c r="P5" s="6"/>
      <c r="Q5" s="6"/>
      <c r="R5" s="7" t="s">
        <v>104</v>
      </c>
      <c r="S5" s="21">
        <f>IF(J28&gt;0,0,J28)*-1</f>
        <v>213568.32</v>
      </c>
      <c r="T5" s="123">
        <f>S5/1000</f>
        <v>213.56832</v>
      </c>
      <c r="V5" s="1"/>
    </row>
    <row r="6" spans="2:22" s="7" customFormat="1" x14ac:dyDescent="0.25">
      <c r="B6" s="19" t="s">
        <v>10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f t="shared" si="0"/>
        <v>0</v>
      </c>
      <c r="J6" s="78">
        <v>0</v>
      </c>
      <c r="K6" s="79"/>
      <c r="L6" s="80"/>
      <c r="M6" s="1"/>
      <c r="N6" s="6"/>
      <c r="O6" s="6"/>
      <c r="P6" s="6"/>
      <c r="Q6" s="6"/>
      <c r="R6" s="49" t="s">
        <v>50</v>
      </c>
      <c r="S6" s="123">
        <f>G10+G20+G40</f>
        <v>183944</v>
      </c>
      <c r="T6" s="123">
        <f>S6/1000</f>
        <v>183.94399999999999</v>
      </c>
      <c r="U6" s="124"/>
      <c r="V6" s="1"/>
    </row>
    <row r="7" spans="2:22" s="7" customFormat="1" x14ac:dyDescent="0.25">
      <c r="B7" s="19" t="s">
        <v>11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f t="shared" si="0"/>
        <v>0</v>
      </c>
      <c r="J7" s="78">
        <v>0</v>
      </c>
      <c r="K7" s="79"/>
      <c r="L7" s="80"/>
      <c r="M7" s="1"/>
      <c r="N7" s="6"/>
      <c r="O7" s="6"/>
      <c r="P7" s="6"/>
      <c r="Q7" s="6"/>
      <c r="R7" s="49" t="s">
        <v>53</v>
      </c>
      <c r="S7" s="123">
        <f>D10+D20</f>
        <v>0</v>
      </c>
      <c r="T7" s="123">
        <f t="shared" ref="T7:T14" si="1">S7/1000</f>
        <v>0</v>
      </c>
      <c r="U7" s="124"/>
      <c r="V7" s="1"/>
    </row>
    <row r="8" spans="2:22" s="7" customFormat="1" x14ac:dyDescent="0.25">
      <c r="B8" s="19" t="s">
        <v>12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f t="shared" si="0"/>
        <v>0</v>
      </c>
      <c r="J8" s="78">
        <v>2457</v>
      </c>
      <c r="K8" s="79"/>
      <c r="L8" s="80"/>
      <c r="M8" s="1"/>
      <c r="N8" s="6"/>
      <c r="O8" s="6"/>
      <c r="P8" s="6"/>
      <c r="Q8" s="6"/>
      <c r="S8" s="123"/>
      <c r="T8" s="123">
        <f t="shared" si="1"/>
        <v>0</v>
      </c>
      <c r="U8" s="124"/>
      <c r="V8" s="1"/>
    </row>
    <row r="9" spans="2:22" s="7" customFormat="1" x14ac:dyDescent="0.25">
      <c r="B9" s="19" t="s">
        <v>13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f t="shared" si="0"/>
        <v>0</v>
      </c>
      <c r="J9" s="78">
        <v>18190</v>
      </c>
      <c r="K9" s="79"/>
      <c r="L9" s="80"/>
      <c r="M9" s="1"/>
      <c r="N9" s="6"/>
      <c r="O9" s="6"/>
      <c r="P9" s="6"/>
      <c r="Q9" s="6"/>
      <c r="R9" s="125" t="s">
        <v>105</v>
      </c>
      <c r="S9" s="123"/>
      <c r="T9" s="123">
        <f t="shared" si="1"/>
        <v>0</v>
      </c>
      <c r="U9" s="124"/>
      <c r="V9" s="1"/>
    </row>
    <row r="10" spans="2:22" s="7" customFormat="1" ht="17.25" x14ac:dyDescent="0.4">
      <c r="B10" s="19" t="s">
        <v>14</v>
      </c>
      <c r="C10" s="78">
        <f t="shared" ref="C10:J10" si="2">SUM(C4:C9)</f>
        <v>8060</v>
      </c>
      <c r="D10" s="78">
        <f t="shared" si="2"/>
        <v>0</v>
      </c>
      <c r="E10" s="78">
        <f t="shared" si="2"/>
        <v>0</v>
      </c>
      <c r="F10" s="78">
        <f t="shared" si="2"/>
        <v>0</v>
      </c>
      <c r="G10" s="78">
        <f t="shared" si="2"/>
        <v>127983</v>
      </c>
      <c r="H10" s="82">
        <f t="shared" si="2"/>
        <v>1296.47</v>
      </c>
      <c r="I10" s="77">
        <f t="shared" si="0"/>
        <v>137339.47</v>
      </c>
      <c r="J10" s="78">
        <f t="shared" si="2"/>
        <v>131829</v>
      </c>
      <c r="K10" s="79"/>
      <c r="L10" s="80">
        <f>SUM(L4:L9)</f>
        <v>26157.47</v>
      </c>
      <c r="M10" s="1"/>
      <c r="N10" s="6"/>
      <c r="O10" s="6"/>
      <c r="P10" s="6"/>
      <c r="Q10" s="6"/>
      <c r="R10" s="49" t="s">
        <v>55</v>
      </c>
      <c r="S10" s="123"/>
      <c r="T10" s="123">
        <f t="shared" si="1"/>
        <v>0</v>
      </c>
      <c r="U10" s="124"/>
      <c r="V10" s="1"/>
    </row>
    <row r="11" spans="2:22" s="7" customFormat="1" x14ac:dyDescent="0.25">
      <c r="B11" s="22"/>
      <c r="C11" s="83"/>
      <c r="D11" s="83"/>
      <c r="E11" s="83"/>
      <c r="F11" s="83"/>
      <c r="G11" s="83"/>
      <c r="H11" s="83"/>
      <c r="I11" s="83"/>
      <c r="J11" s="83"/>
      <c r="K11" s="84"/>
      <c r="L11" s="85"/>
      <c r="M11" s="1"/>
      <c r="N11" s="6"/>
      <c r="O11" s="6"/>
      <c r="P11" s="6"/>
      <c r="Q11" s="6"/>
      <c r="R11" s="49" t="s">
        <v>56</v>
      </c>
      <c r="S11" s="123">
        <f>E10+E20+E40</f>
        <v>1599</v>
      </c>
      <c r="T11" s="123">
        <f t="shared" si="1"/>
        <v>1.599</v>
      </c>
      <c r="U11" s="124"/>
      <c r="V11" s="1"/>
    </row>
    <row r="12" spans="2:22" s="7" customFormat="1" x14ac:dyDescent="0.25">
      <c r="B12" s="23" t="s">
        <v>15</v>
      </c>
      <c r="C12" s="83"/>
      <c r="D12" s="83"/>
      <c r="E12" s="83"/>
      <c r="F12" s="83"/>
      <c r="G12" s="83"/>
      <c r="H12" s="83"/>
      <c r="I12" s="79"/>
      <c r="J12" s="79"/>
      <c r="K12" s="84"/>
      <c r="L12" s="85"/>
      <c r="M12" s="1"/>
      <c r="N12" s="6"/>
      <c r="O12" s="6"/>
      <c r="P12" s="6"/>
      <c r="Q12" s="6"/>
      <c r="R12" s="49" t="s">
        <v>25</v>
      </c>
      <c r="S12" s="123">
        <f>H10+H20+H40</f>
        <v>1296.47</v>
      </c>
      <c r="T12" s="123">
        <f t="shared" si="1"/>
        <v>1.29647</v>
      </c>
      <c r="U12" s="124"/>
      <c r="V12" s="1"/>
    </row>
    <row r="13" spans="2:22" x14ac:dyDescent="0.25">
      <c r="B13" s="24"/>
      <c r="C13" s="78"/>
      <c r="D13" s="78"/>
      <c r="E13" s="78"/>
      <c r="F13" s="78"/>
      <c r="G13" s="78"/>
      <c r="H13" s="78"/>
      <c r="I13" s="78"/>
      <c r="J13" s="78"/>
      <c r="K13" s="78"/>
      <c r="L13" s="86"/>
      <c r="M13" s="6"/>
      <c r="R13" s="49" t="s">
        <v>57</v>
      </c>
      <c r="S13" s="123">
        <f>F10+F20+F40</f>
        <v>16978</v>
      </c>
      <c r="T13" s="123">
        <f t="shared" si="1"/>
        <v>16.978000000000002</v>
      </c>
      <c r="U13" s="124"/>
    </row>
    <row r="14" spans="2:22" ht="18.75" x14ac:dyDescent="0.3">
      <c r="B14" s="26" t="s">
        <v>16</v>
      </c>
      <c r="C14" s="87"/>
      <c r="D14" s="87"/>
      <c r="E14" s="87"/>
      <c r="F14" s="87"/>
      <c r="G14" s="87"/>
      <c r="H14" s="87"/>
      <c r="I14" s="87"/>
      <c r="J14" s="88" t="s">
        <v>17</v>
      </c>
      <c r="K14" s="89" t="s">
        <v>18</v>
      </c>
      <c r="L14" s="90"/>
      <c r="M14" s="27" t="s">
        <v>19</v>
      </c>
      <c r="N14" s="28"/>
      <c r="R14" s="49" t="s">
        <v>58</v>
      </c>
      <c r="S14" s="123">
        <f>C10+C20+C40</f>
        <v>260826</v>
      </c>
      <c r="T14" s="123">
        <f t="shared" si="1"/>
        <v>260.82600000000002</v>
      </c>
      <c r="U14" s="124"/>
    </row>
    <row r="15" spans="2:22" x14ac:dyDescent="0.25">
      <c r="B15" s="19" t="s">
        <v>20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f>SUM(C15:H15)</f>
        <v>0</v>
      </c>
      <c r="J15" s="78">
        <v>0</v>
      </c>
      <c r="K15" s="91">
        <f>J15/(1-M15)</f>
        <v>0</v>
      </c>
      <c r="L15" s="92">
        <f>I15-K15</f>
        <v>0</v>
      </c>
      <c r="M15" s="29">
        <v>0.03</v>
      </c>
      <c r="O15" s="30"/>
      <c r="R15" s="125" t="s">
        <v>106</v>
      </c>
      <c r="S15" s="123">
        <f>SUM(S4:S14)</f>
        <v>827673.8867741935</v>
      </c>
      <c r="T15" s="123">
        <f>SUM(T4:T14)</f>
        <v>827.67388677419353</v>
      </c>
      <c r="U15" s="124"/>
    </row>
    <row r="16" spans="2:22" x14ac:dyDescent="0.25">
      <c r="B16" s="19" t="s">
        <v>21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f t="shared" ref="I16:I20" si="3">SUM(C16:H16)</f>
        <v>0</v>
      </c>
      <c r="J16" s="78">
        <v>0</v>
      </c>
      <c r="K16" s="91">
        <f>J16/(1-M16)</f>
        <v>0</v>
      </c>
      <c r="L16" s="92">
        <f>I16-K16</f>
        <v>0</v>
      </c>
      <c r="M16" s="29">
        <v>0.03</v>
      </c>
      <c r="O16" s="30"/>
      <c r="R16" t="s">
        <v>107</v>
      </c>
      <c r="S16" s="57">
        <f>J8</f>
        <v>2457</v>
      </c>
      <c r="T16" s="57">
        <f>S16/1000</f>
        <v>2.4569999999999999</v>
      </c>
      <c r="U16" s="124"/>
    </row>
    <row r="17" spans="2:22" x14ac:dyDescent="0.25">
      <c r="B17" s="19" t="s">
        <v>22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f t="shared" si="3"/>
        <v>0</v>
      </c>
      <c r="J17" s="78">
        <v>0</v>
      </c>
      <c r="K17" s="91">
        <f>J17/(1-M17)</f>
        <v>0</v>
      </c>
      <c r="L17" s="92">
        <f>I17-K17</f>
        <v>0</v>
      </c>
      <c r="M17" s="29">
        <v>0.03</v>
      </c>
      <c r="O17" s="30"/>
      <c r="R17" t="s">
        <v>108</v>
      </c>
      <c r="S17" s="57">
        <f>J9</f>
        <v>18190</v>
      </c>
      <c r="T17" s="57">
        <f t="shared" ref="T17:T18" si="4">S17/1000</f>
        <v>18.190000000000001</v>
      </c>
      <c r="U17" s="124"/>
      <c r="V17" s="6"/>
    </row>
    <row r="18" spans="2:22" x14ac:dyDescent="0.25">
      <c r="B18" s="19" t="s">
        <v>23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f t="shared" si="3"/>
        <v>0</v>
      </c>
      <c r="J18" s="78">
        <v>31508</v>
      </c>
      <c r="K18" s="91">
        <f>J18/(1-M18)</f>
        <v>31762.096774193549</v>
      </c>
      <c r="L18" s="92"/>
      <c r="M18" s="31">
        <v>8.0000000000000002E-3</v>
      </c>
      <c r="O18" s="30"/>
      <c r="R18" t="s">
        <v>109</v>
      </c>
      <c r="S18" s="57">
        <f>J6+J7</f>
        <v>0</v>
      </c>
      <c r="T18" s="57">
        <f t="shared" si="4"/>
        <v>0</v>
      </c>
      <c r="U18"/>
    </row>
    <row r="19" spans="2:22" ht="17.25" x14ac:dyDescent="0.4">
      <c r="B19" s="19" t="s">
        <v>24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f t="shared" si="3"/>
        <v>0</v>
      </c>
      <c r="J19" s="82">
        <v>117700</v>
      </c>
      <c r="K19" s="91">
        <f>J19/(1-M19)</f>
        <v>117700</v>
      </c>
      <c r="L19" s="92"/>
      <c r="M19" s="1">
        <v>0</v>
      </c>
      <c r="O19" s="30"/>
      <c r="R19" t="s">
        <v>110</v>
      </c>
      <c r="S19" s="57">
        <f>SUM(S15:S18)</f>
        <v>848320.8867741935</v>
      </c>
      <c r="T19" s="57">
        <f>SUM(T15:T18)</f>
        <v>848.32088677419358</v>
      </c>
      <c r="U19"/>
    </row>
    <row r="20" spans="2:22" ht="17.25" x14ac:dyDescent="0.4">
      <c r="B20" s="19" t="s">
        <v>14</v>
      </c>
      <c r="C20" s="78">
        <f t="shared" ref="C20:H20" si="5">SUM(C15:C19)</f>
        <v>0</v>
      </c>
      <c r="D20" s="78">
        <f t="shared" si="5"/>
        <v>0</v>
      </c>
      <c r="E20" s="78">
        <f t="shared" si="5"/>
        <v>0</v>
      </c>
      <c r="F20" s="78">
        <f t="shared" si="5"/>
        <v>0</v>
      </c>
      <c r="G20" s="78">
        <f t="shared" si="5"/>
        <v>0</v>
      </c>
      <c r="H20" s="78">
        <f t="shared" si="5"/>
        <v>0</v>
      </c>
      <c r="I20" s="78">
        <f t="shared" si="3"/>
        <v>0</v>
      </c>
      <c r="J20" s="82">
        <f>SUM(J15:J19)</f>
        <v>149208</v>
      </c>
      <c r="K20" s="93">
        <f>SUM(K15:K19)</f>
        <v>149462.09677419355</v>
      </c>
      <c r="L20" s="93">
        <f>SUM(L15:L19)</f>
        <v>0</v>
      </c>
      <c r="M20" s="32"/>
      <c r="N20" s="33"/>
      <c r="O20" s="30"/>
      <c r="R20"/>
      <c r="S20"/>
      <c r="T20"/>
      <c r="U20"/>
    </row>
    <row r="21" spans="2:22" x14ac:dyDescent="0.25">
      <c r="B21" s="24"/>
      <c r="C21" s="78"/>
      <c r="D21" s="78"/>
      <c r="E21" s="78"/>
      <c r="F21" s="78"/>
      <c r="G21" s="78"/>
      <c r="H21" s="78"/>
      <c r="I21" s="78"/>
      <c r="J21" s="78"/>
      <c r="K21" s="77"/>
      <c r="L21" s="86"/>
      <c r="M21" s="30"/>
      <c r="R21" s="19" t="s">
        <v>111</v>
      </c>
      <c r="S21" s="21">
        <f>IF(J28&lt;0,0,J28)</f>
        <v>0</v>
      </c>
      <c r="T21" s="123">
        <f t="shared" ref="T21:T27" si="6">S21/1000</f>
        <v>0</v>
      </c>
      <c r="U21" s="124"/>
    </row>
    <row r="22" spans="2:22" x14ac:dyDescent="0.25"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86"/>
      <c r="R22" s="19" t="s">
        <v>35</v>
      </c>
      <c r="S22" s="126">
        <f>K32</f>
        <v>2210</v>
      </c>
      <c r="T22" s="123">
        <f t="shared" si="6"/>
        <v>2.21</v>
      </c>
      <c r="U22" s="124"/>
    </row>
    <row r="23" spans="2:22" ht="15.75" thickBot="1" x14ac:dyDescent="0.3">
      <c r="B23" s="35" t="s">
        <v>25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R23" s="19" t="s">
        <v>36</v>
      </c>
      <c r="S23" s="126">
        <f>K33</f>
        <v>119677</v>
      </c>
      <c r="T23" s="123">
        <f t="shared" si="6"/>
        <v>119.67700000000001</v>
      </c>
      <c r="U23" s="124"/>
    </row>
    <row r="24" spans="2:22" x14ac:dyDescent="0.25">
      <c r="C24" s="77"/>
      <c r="D24" s="77"/>
      <c r="E24" s="77"/>
      <c r="F24" s="77"/>
      <c r="G24" s="77"/>
      <c r="H24" s="77"/>
      <c r="I24" s="77"/>
      <c r="J24" s="77"/>
      <c r="K24" s="77"/>
      <c r="L24" s="77"/>
      <c r="R24" s="19" t="s">
        <v>37</v>
      </c>
      <c r="S24" s="126">
        <f>K34</f>
        <v>61266</v>
      </c>
      <c r="T24" s="123">
        <f t="shared" si="6"/>
        <v>61.265999999999998</v>
      </c>
      <c r="U24" s="124"/>
    </row>
    <row r="25" spans="2:22" ht="15.75" thickBot="1" x14ac:dyDescent="0.3">
      <c r="C25" s="77"/>
      <c r="D25" s="77"/>
      <c r="E25" s="77"/>
      <c r="F25" s="77"/>
      <c r="G25" s="77"/>
      <c r="H25" s="77"/>
      <c r="I25" s="77"/>
      <c r="J25" s="77"/>
      <c r="K25" s="77"/>
      <c r="L25" s="77"/>
      <c r="R25" s="19" t="s">
        <v>38</v>
      </c>
      <c r="S25" s="126">
        <f>K35</f>
        <v>209835</v>
      </c>
      <c r="T25" s="123">
        <f t="shared" si="6"/>
        <v>209.83500000000001</v>
      </c>
      <c r="U25" s="124"/>
    </row>
    <row r="26" spans="2:22" x14ac:dyDescent="0.25">
      <c r="B26" s="8"/>
      <c r="C26" s="96"/>
      <c r="D26" s="96"/>
      <c r="E26" s="96"/>
      <c r="F26" s="96"/>
      <c r="G26" s="96"/>
      <c r="H26" s="77"/>
      <c r="I26" s="97" t="s">
        <v>26</v>
      </c>
      <c r="J26" s="98" t="s">
        <v>27</v>
      </c>
      <c r="K26" s="77"/>
      <c r="L26" s="77"/>
      <c r="M26" s="38" t="s">
        <v>28</v>
      </c>
      <c r="R26" s="19" t="s">
        <v>39</v>
      </c>
      <c r="S26" s="126">
        <f>K36</f>
        <v>152054</v>
      </c>
      <c r="T26" s="123">
        <f t="shared" si="6"/>
        <v>152.054</v>
      </c>
      <c r="U26" s="124"/>
    </row>
    <row r="27" spans="2:22" x14ac:dyDescent="0.25">
      <c r="B27" s="39" t="s">
        <v>29</v>
      </c>
      <c r="C27" s="78"/>
      <c r="D27" s="78"/>
      <c r="E27" s="78"/>
      <c r="F27" s="78"/>
      <c r="G27" s="78"/>
      <c r="H27" s="77"/>
      <c r="I27" s="72">
        <f>J10-I40</f>
        <v>14699</v>
      </c>
      <c r="J27" s="80">
        <f>J40*8%</f>
        <v>26872.32</v>
      </c>
      <c r="K27" s="77"/>
      <c r="L27" s="77"/>
      <c r="M27" s="40">
        <f>100-(I40/J10*100)</f>
        <v>11.150050444135957</v>
      </c>
      <c r="R27" s="19" t="s">
        <v>44</v>
      </c>
      <c r="S27" s="126">
        <f>K41</f>
        <v>235296</v>
      </c>
      <c r="T27" s="123">
        <f t="shared" si="6"/>
        <v>235.29599999999999</v>
      </c>
      <c r="U27" s="124"/>
    </row>
    <row r="28" spans="2:22" ht="15.75" thickBot="1" x14ac:dyDescent="0.3">
      <c r="B28" s="35" t="s">
        <v>30</v>
      </c>
      <c r="C28" s="94"/>
      <c r="D28" s="94"/>
      <c r="E28" s="94"/>
      <c r="F28" s="94"/>
      <c r="G28" s="94"/>
      <c r="H28" s="94"/>
      <c r="I28" s="99">
        <f>I40+I27-J10</f>
        <v>0</v>
      </c>
      <c r="J28" s="122">
        <f>J20-J27-J40</f>
        <v>-213568.32</v>
      </c>
      <c r="K28" s="77"/>
      <c r="L28" s="77"/>
      <c r="M28" s="1" t="str">
        <f>IF(M27&gt;10,"OBS! HÖGA FÖRLUSTER","OK")</f>
        <v>OBS! HÖGA FÖRLUSTER</v>
      </c>
      <c r="R28" s="19" t="s">
        <v>112</v>
      </c>
      <c r="S28" s="58">
        <f>SUM(S22:S27)</f>
        <v>780338</v>
      </c>
      <c r="T28" s="58">
        <f>SUM(T22:T27)</f>
        <v>780.33799999999997</v>
      </c>
      <c r="U28" s="124"/>
    </row>
    <row r="29" spans="2:22" ht="15.75" thickBot="1" x14ac:dyDescent="0.3">
      <c r="C29" s="77"/>
      <c r="D29" s="77"/>
      <c r="E29" s="77"/>
      <c r="F29" s="77"/>
      <c r="G29" s="77"/>
      <c r="H29" s="77"/>
      <c r="I29" s="77"/>
      <c r="J29" s="77"/>
      <c r="K29" s="77"/>
      <c r="L29" s="77"/>
      <c r="R29" s="127" t="s">
        <v>113</v>
      </c>
      <c r="S29" s="128"/>
      <c r="T29" s="129">
        <f t="shared" ref="T29:T36" si="7">S29/1000</f>
        <v>0</v>
      </c>
      <c r="U29" s="48"/>
    </row>
    <row r="30" spans="2:22" ht="15.75" thickBot="1" x14ac:dyDescent="0.3">
      <c r="B30" s="8"/>
      <c r="C30" s="100" t="s">
        <v>0</v>
      </c>
      <c r="D30" s="100"/>
      <c r="E30" s="100"/>
      <c r="F30" s="100" t="s">
        <v>1</v>
      </c>
      <c r="G30" s="100"/>
      <c r="H30" s="96"/>
      <c r="I30" s="96"/>
      <c r="J30" s="96"/>
      <c r="K30" s="101"/>
      <c r="L30" s="77"/>
      <c r="R30" s="49" t="s">
        <v>114</v>
      </c>
      <c r="S30" s="50">
        <f>J27</f>
        <v>26872.32</v>
      </c>
      <c r="T30" s="130">
        <f t="shared" si="7"/>
        <v>26.872319999999998</v>
      </c>
      <c r="U30" s="53"/>
    </row>
    <row r="31" spans="2:22" ht="30" x14ac:dyDescent="0.25">
      <c r="B31" s="41" t="s">
        <v>31</v>
      </c>
      <c r="C31" s="102" t="s">
        <v>58</v>
      </c>
      <c r="D31" s="102" t="s">
        <v>53</v>
      </c>
      <c r="E31" s="102" t="s">
        <v>56</v>
      </c>
      <c r="F31" s="103" t="s">
        <v>57</v>
      </c>
      <c r="G31" s="103" t="s">
        <v>102</v>
      </c>
      <c r="H31" s="103" t="s">
        <v>25</v>
      </c>
      <c r="I31" s="104" t="s">
        <v>32</v>
      </c>
      <c r="J31" s="104" t="s">
        <v>33</v>
      </c>
      <c r="K31" s="105" t="s">
        <v>34</v>
      </c>
      <c r="L31" s="77"/>
      <c r="R31" s="49" t="s">
        <v>115</v>
      </c>
      <c r="S31" s="50">
        <f>I27</f>
        <v>14699</v>
      </c>
      <c r="T31" s="130">
        <f t="shared" si="7"/>
        <v>14.699</v>
      </c>
      <c r="U31" s="53"/>
    </row>
    <row r="32" spans="2:22" x14ac:dyDescent="0.25">
      <c r="B32" s="19" t="s">
        <v>35</v>
      </c>
      <c r="C32" s="78">
        <v>719</v>
      </c>
      <c r="D32" s="78">
        <v>0</v>
      </c>
      <c r="E32" s="78">
        <v>0</v>
      </c>
      <c r="F32" s="78">
        <v>76</v>
      </c>
      <c r="G32" s="78">
        <v>0</v>
      </c>
      <c r="H32" s="78">
        <v>0</v>
      </c>
      <c r="I32" s="78">
        <v>0</v>
      </c>
      <c r="J32" s="78">
        <v>1415</v>
      </c>
      <c r="K32" s="80">
        <f>SUM(C32:J32)</f>
        <v>2210</v>
      </c>
      <c r="L32" s="77"/>
      <c r="R32" s="49" t="s">
        <v>116</v>
      </c>
      <c r="S32" s="50">
        <f>K20-J20</f>
        <v>254.09677419354557</v>
      </c>
      <c r="T32" s="130">
        <f t="shared" si="7"/>
        <v>0.25409677419354559</v>
      </c>
      <c r="U32"/>
    </row>
    <row r="33" spans="2:39" ht="17.25" x14ac:dyDescent="0.4">
      <c r="B33" s="19" t="s">
        <v>36</v>
      </c>
      <c r="C33" s="82">
        <v>52683.75</v>
      </c>
      <c r="D33" s="78">
        <v>0</v>
      </c>
      <c r="E33" s="82">
        <v>1599</v>
      </c>
      <c r="F33" s="78">
        <v>190</v>
      </c>
      <c r="G33" s="82">
        <v>889.25</v>
      </c>
      <c r="H33" s="78">
        <v>0</v>
      </c>
      <c r="I33" s="78">
        <v>18898</v>
      </c>
      <c r="J33" s="78">
        <v>45417</v>
      </c>
      <c r="K33" s="80">
        <f t="shared" ref="K33:K40" si="8">SUM(C33:J33)</f>
        <v>119677</v>
      </c>
      <c r="L33" s="77"/>
      <c r="R33" s="49" t="s">
        <v>117</v>
      </c>
      <c r="S33" s="50">
        <f>L4</f>
        <v>0</v>
      </c>
      <c r="T33" s="130">
        <f t="shared" si="7"/>
        <v>0</v>
      </c>
      <c r="U33" s="53"/>
    </row>
    <row r="34" spans="2:39" x14ac:dyDescent="0.25">
      <c r="B34" s="19" t="s">
        <v>37</v>
      </c>
      <c r="C34" s="78">
        <v>859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21099</v>
      </c>
      <c r="J34" s="78">
        <v>39308</v>
      </c>
      <c r="K34" s="80">
        <f t="shared" si="8"/>
        <v>61266</v>
      </c>
      <c r="L34" s="77"/>
      <c r="R34" s="49" t="s">
        <v>118</v>
      </c>
      <c r="S34" s="50">
        <f>L5</f>
        <v>26157.47</v>
      </c>
      <c r="T34" s="130">
        <f t="shared" si="7"/>
        <v>26.15747</v>
      </c>
      <c r="U34" s="53"/>
    </row>
    <row r="35" spans="2:39" x14ac:dyDescent="0.25">
      <c r="B35" s="19" t="s">
        <v>38</v>
      </c>
      <c r="C35" s="78">
        <v>191166</v>
      </c>
      <c r="D35" s="78">
        <v>0</v>
      </c>
      <c r="E35" s="78">
        <v>0</v>
      </c>
      <c r="F35" s="78">
        <v>16712</v>
      </c>
      <c r="G35" s="78">
        <v>0</v>
      </c>
      <c r="H35" s="78">
        <v>0</v>
      </c>
      <c r="I35" s="78">
        <v>0</v>
      </c>
      <c r="J35" s="78">
        <v>1957</v>
      </c>
      <c r="K35" s="80">
        <f t="shared" si="8"/>
        <v>209835</v>
      </c>
      <c r="L35" s="77"/>
      <c r="R35" s="49" t="s">
        <v>119</v>
      </c>
      <c r="S35" s="50">
        <f>L15</f>
        <v>0</v>
      </c>
      <c r="T35" s="130">
        <f t="shared" si="7"/>
        <v>0</v>
      </c>
      <c r="U35" s="53"/>
    </row>
    <row r="36" spans="2:39" ht="15.75" thickBot="1" x14ac:dyDescent="0.3">
      <c r="B36" s="19" t="s">
        <v>39</v>
      </c>
      <c r="C36" s="78">
        <v>5275</v>
      </c>
      <c r="D36" s="78">
        <v>0</v>
      </c>
      <c r="E36" s="78">
        <v>0</v>
      </c>
      <c r="F36" s="78">
        <v>0</v>
      </c>
      <c r="G36" s="116">
        <v>0</v>
      </c>
      <c r="H36" s="78">
        <v>0</v>
      </c>
      <c r="I36" s="78">
        <v>15181</v>
      </c>
      <c r="J36" s="78">
        <v>131598</v>
      </c>
      <c r="K36" s="80">
        <f t="shared" si="8"/>
        <v>152054</v>
      </c>
      <c r="L36" s="77"/>
      <c r="R36" s="54" t="s">
        <v>120</v>
      </c>
      <c r="S36" s="131">
        <f>L16</f>
        <v>0</v>
      </c>
      <c r="T36" s="132">
        <f t="shared" si="7"/>
        <v>0</v>
      </c>
    </row>
    <row r="37" spans="2:39" ht="17.25" x14ac:dyDescent="0.4">
      <c r="B37" s="19" t="s">
        <v>40</v>
      </c>
      <c r="C37" s="82">
        <v>2043.25</v>
      </c>
      <c r="D37" s="78">
        <v>0</v>
      </c>
      <c r="E37" s="78">
        <v>0</v>
      </c>
      <c r="F37" s="78">
        <v>0</v>
      </c>
      <c r="G37" s="82">
        <v>55071.75</v>
      </c>
      <c r="H37" s="78">
        <v>0</v>
      </c>
      <c r="I37" s="78">
        <v>2153</v>
      </c>
      <c r="J37" s="78">
        <v>97052</v>
      </c>
      <c r="K37" s="80">
        <f t="shared" si="8"/>
        <v>156320</v>
      </c>
      <c r="L37" s="77"/>
      <c r="R37" s="125" t="s">
        <v>121</v>
      </c>
      <c r="S37" s="133">
        <f>SUM(S30:S36)</f>
        <v>67982.886774193554</v>
      </c>
      <c r="T37" s="134">
        <f>SUM(T30:T36)</f>
        <v>67.982886774193545</v>
      </c>
      <c r="U37"/>
    </row>
    <row r="38" spans="2:39" x14ac:dyDescent="0.25">
      <c r="B38" s="19" t="s">
        <v>41</v>
      </c>
      <c r="C38" s="78">
        <v>20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59799</v>
      </c>
      <c r="J38" s="78">
        <v>10767</v>
      </c>
      <c r="K38" s="80">
        <f t="shared" si="8"/>
        <v>70586</v>
      </c>
      <c r="L38" s="108"/>
      <c r="N38" s="6"/>
      <c r="O38" s="6"/>
      <c r="P38" s="6"/>
      <c r="Q38" s="6"/>
      <c r="R38" s="125" t="s">
        <v>122</v>
      </c>
      <c r="S38"/>
      <c r="T38" s="58">
        <f>T28+T37+T21</f>
        <v>848.32088677419347</v>
      </c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2:39" x14ac:dyDescent="0.25">
      <c r="B39" s="19" t="s">
        <v>42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8390</v>
      </c>
      <c r="K39" s="80">
        <f t="shared" si="8"/>
        <v>8390</v>
      </c>
      <c r="L39" s="77"/>
      <c r="R39" s="1" t="s">
        <v>123</v>
      </c>
      <c r="S39"/>
      <c r="T39" s="135">
        <f>T19-T38</f>
        <v>0</v>
      </c>
      <c r="U39" s="136"/>
    </row>
    <row r="40" spans="2:39" ht="17.25" x14ac:dyDescent="0.4">
      <c r="B40" s="19" t="s">
        <v>43</v>
      </c>
      <c r="C40" s="72">
        <f>SUM(C32:C39)</f>
        <v>252766</v>
      </c>
      <c r="D40" s="72">
        <f t="shared" ref="D40:J40" si="9">SUM(D32:D39)</f>
        <v>0</v>
      </c>
      <c r="E40" s="75">
        <f t="shared" si="9"/>
        <v>1599</v>
      </c>
      <c r="F40" s="72">
        <f t="shared" si="9"/>
        <v>16978</v>
      </c>
      <c r="G40" s="75">
        <f t="shared" si="9"/>
        <v>55961</v>
      </c>
      <c r="H40" s="72">
        <f t="shared" si="9"/>
        <v>0</v>
      </c>
      <c r="I40" s="72">
        <f t="shared" si="9"/>
        <v>117130</v>
      </c>
      <c r="J40" s="72">
        <f t="shared" si="9"/>
        <v>335904</v>
      </c>
      <c r="K40" s="80">
        <f t="shared" si="8"/>
        <v>780338</v>
      </c>
      <c r="L40" s="77"/>
    </row>
    <row r="41" spans="2:39" x14ac:dyDescent="0.25">
      <c r="B41" s="19" t="s">
        <v>44</v>
      </c>
      <c r="C41" s="72">
        <f>SUM(C37:C39)</f>
        <v>2063.25</v>
      </c>
      <c r="D41" s="72">
        <f t="shared" ref="D41:K41" si="10">SUM(D37:D39)</f>
        <v>0</v>
      </c>
      <c r="E41" s="72">
        <f t="shared" si="10"/>
        <v>0</v>
      </c>
      <c r="F41" s="72">
        <f t="shared" si="10"/>
        <v>0</v>
      </c>
      <c r="G41" s="72">
        <f t="shared" si="10"/>
        <v>55071.75</v>
      </c>
      <c r="H41" s="72">
        <f t="shared" si="10"/>
        <v>0</v>
      </c>
      <c r="I41" s="72">
        <f t="shared" si="10"/>
        <v>61952</v>
      </c>
      <c r="J41" s="72">
        <f t="shared" si="10"/>
        <v>116209</v>
      </c>
      <c r="K41" s="72">
        <f t="shared" si="10"/>
        <v>235296</v>
      </c>
      <c r="L41" s="77"/>
    </row>
    <row r="42" spans="2:39" x14ac:dyDescent="0.25">
      <c r="B42" s="24"/>
      <c r="C42" s="64"/>
      <c r="D42" s="64"/>
      <c r="E42" s="64"/>
      <c r="F42" s="64"/>
      <c r="G42" s="64"/>
      <c r="H42" s="64"/>
      <c r="I42" s="64"/>
      <c r="J42" s="64"/>
      <c r="K42" s="73"/>
      <c r="L42" s="70"/>
    </row>
    <row r="43" spans="2:39" ht="15.75" thickBot="1" x14ac:dyDescent="0.3">
      <c r="B43" s="43"/>
      <c r="C43" s="36"/>
      <c r="D43" s="36"/>
      <c r="E43" s="36"/>
      <c r="F43" s="36"/>
      <c r="G43" s="36"/>
      <c r="H43" s="36"/>
      <c r="I43" s="36"/>
      <c r="J43" s="36"/>
      <c r="K43" s="37"/>
      <c r="L43" s="34"/>
    </row>
    <row r="44" spans="2:39" x14ac:dyDescent="0.25"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39" x14ac:dyDescent="0.25">
      <c r="C45" s="34"/>
      <c r="D45" s="34"/>
      <c r="E45" s="34"/>
      <c r="F45" s="34"/>
      <c r="G45" s="34"/>
      <c r="H45" s="34"/>
      <c r="I45" s="34"/>
      <c r="J45" s="34"/>
      <c r="K45" s="34"/>
      <c r="L45" s="34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b5e531fa-67de-4c6f-b0e9-c95f80bf210e" xsi:nil="true"/>
    <Beskrivning xmlns="b5e531fa-67de-4c6f-b0e9-c95f80bf210e" xsi:nil="true"/>
    <PublishingExpirationDate xmlns="http://schemas.microsoft.com/sharepoint/v3" xsi:nil="true"/>
    <PublishingStartDate xmlns="http://schemas.microsoft.com/sharepoint/v3" xsi:nil="true"/>
    <Serienummer xmlns="b5e531fa-67de-4c6f-b0e9-c95f80bf210e" xsi:nil="true"/>
    <L_x00f6_pnummer xmlns="b5e531fa-67de-4c6f-b0e9-c95f80bf210e" xsi:nil="true"/>
    <Verksamhet xmlns="b5e531fa-67de-4c6f-b0e9-c95f80bf210e" xsi:nil="true"/>
    <_x00c5_rtal xmlns="b5e531fa-67de-4c6f-b0e9-c95f80bf210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1CA0758BFDE94287CDD3892FBF9AD3" ma:contentTypeVersion="7" ma:contentTypeDescription="Skapa ett nytt dokument." ma:contentTypeScope="" ma:versionID="3af2f70e7cadacfcfbaf8110f1e0dbd5">
  <xsd:schema xmlns:xsd="http://www.w3.org/2001/XMLSchema" xmlns:xs="http://www.w3.org/2001/XMLSchema" xmlns:p="http://schemas.microsoft.com/office/2006/metadata/properties" xmlns:ns1="http://schemas.microsoft.com/sharepoint/v3" xmlns:ns2="b5e531fa-67de-4c6f-b0e9-c95f80bf210e" targetNamespace="http://schemas.microsoft.com/office/2006/metadata/properties" ma:root="true" ma:fieldsID="8fbce4f5a28b1d262c1997bf7de51a85" ns1:_="" ns2:_="">
    <xsd:import namespace="http://schemas.microsoft.com/sharepoint/v3"/>
    <xsd:import namespace="b5e531fa-67de-4c6f-b0e9-c95f80bf210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531fa-67de-4c6f-b0e9-c95f80bf210e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B7290F-5BA0-4A26-9714-A925E7E9EFB8}"/>
</file>

<file path=customXml/itemProps2.xml><?xml version="1.0" encoding="utf-8"?>
<ds:datastoreItem xmlns:ds="http://schemas.openxmlformats.org/officeDocument/2006/customXml" ds:itemID="{D597E990-D5EC-4CBC-894F-04120ECCFAB3}"/>
</file>

<file path=customXml/itemProps3.xml><?xml version="1.0" encoding="utf-8"?>
<ds:datastoreItem xmlns:ds="http://schemas.openxmlformats.org/officeDocument/2006/customXml" ds:itemID="{FEC88A27-C82F-4FAD-BB04-9835D46DFE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Dalarna län</vt:lpstr>
      <vt:lpstr>sammanställning sankey</vt:lpstr>
      <vt:lpstr>Avesta</vt:lpstr>
      <vt:lpstr>Borlänge</vt:lpstr>
      <vt:lpstr>Falun</vt:lpstr>
      <vt:lpstr>Gagnef</vt:lpstr>
      <vt:lpstr>Hedemora</vt:lpstr>
      <vt:lpstr>Leksand</vt:lpstr>
      <vt:lpstr>Ludvika</vt:lpstr>
      <vt:lpstr>Malung-Sälen</vt:lpstr>
      <vt:lpstr>Mora</vt:lpstr>
      <vt:lpstr>Orsa</vt:lpstr>
      <vt:lpstr>Rättvik</vt:lpstr>
      <vt:lpstr>Smedjebacken</vt:lpstr>
      <vt:lpstr>Säter</vt:lpstr>
      <vt:lpstr>Vansbro</vt:lpstr>
      <vt:lpstr>Älvdalen</vt:lpstr>
    </vt:vector>
  </TitlesOfParts>
  <Company>HifabGruppen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 Hellström</dc:creator>
  <cp:lastModifiedBy>Chris Hellström</cp:lastModifiedBy>
  <dcterms:created xsi:type="dcterms:W3CDTF">2016-03-14T06:56:40Z</dcterms:created>
  <dcterms:modified xsi:type="dcterms:W3CDTF">2016-05-24T08:35:45Z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0x010100FC1CA0758BFDE94287CDD3892FBF9AD3</vt:lpwstr>
  </property>
</Properties>
</file>